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activeTab="2"/>
  </bookViews>
  <sheets>
    <sheet name="chồi 1" sheetId="5" r:id="rId1"/>
    <sheet name="chồi 2" sheetId="10" r:id="rId2"/>
    <sheet name="lá 1" sheetId="6" r:id="rId3"/>
    <sheet name="lá 2" sheetId="11" r:id="rId4"/>
    <sheet name="lá 3" sheetId="12" r:id="rId5"/>
    <sheet name="lá 4" sheetId="13" r:id="rId6"/>
    <sheet name="lá 5" sheetId="14" r:id="rId7"/>
  </sheets>
  <definedNames>
    <definedName name="_xlnm._FilterDatabase" localSheetId="0" hidden="1">'chồi 1'!$B$3:$M$37</definedName>
    <definedName name="_xlnm._FilterDatabase" localSheetId="1" hidden="1">'chồi 2'!$B$3:$M$36</definedName>
    <definedName name="_xlnm._FilterDatabase" localSheetId="2" hidden="1">'lá 1'!$B$3:$P$56</definedName>
    <definedName name="_xlnm._FilterDatabase" localSheetId="3" hidden="1">'lá 2'!$B$3:$N$57</definedName>
    <definedName name="_xlnm._FilterDatabase" localSheetId="4" hidden="1">'lá 3'!$A$3:$M$56</definedName>
    <definedName name="_xlnm._FilterDatabase" localSheetId="5" hidden="1">'lá 4'!$B$3:$M$57</definedName>
    <definedName name="_xlnm._FilterDatabase" localSheetId="6" hidden="1">'lá 5'!$B$3:$M$57</definedName>
  </definedNames>
  <calcPr calcId="124519" calcMode="manual"/>
</workbook>
</file>

<file path=xl/calcChain.xml><?xml version="1.0" encoding="utf-8"?>
<calcChain xmlns="http://schemas.openxmlformats.org/spreadsheetml/2006/main">
  <c r="E46" i="13"/>
  <c r="F44"/>
  <c r="E44"/>
  <c r="G44" s="1"/>
  <c r="H44" s="1"/>
  <c r="F43"/>
  <c r="G43" s="1"/>
  <c r="H43" s="1"/>
  <c r="E43"/>
  <c r="F42"/>
  <c r="E42"/>
  <c r="G42" s="1"/>
  <c r="M25"/>
  <c r="L25"/>
  <c r="M12"/>
  <c r="M11"/>
  <c r="L11"/>
  <c r="M14"/>
  <c r="M23"/>
  <c r="M33"/>
  <c r="M35"/>
  <c r="L32"/>
  <c r="M32" s="1"/>
  <c r="M28"/>
  <c r="L28"/>
  <c r="M27"/>
  <c r="L27"/>
  <c r="M16"/>
  <c r="L16"/>
  <c r="M24"/>
  <c r="L8"/>
  <c r="M8" s="1"/>
  <c r="M13"/>
  <c r="L17"/>
  <c r="M17" s="1"/>
  <c r="L18"/>
  <c r="M18" s="1"/>
  <c r="L31"/>
  <c r="M31" s="1"/>
  <c r="L37"/>
  <c r="M37" s="1"/>
  <c r="M10"/>
  <c r="L10"/>
  <c r="M21"/>
  <c r="L21"/>
  <c r="M9"/>
  <c r="L9"/>
  <c r="M20"/>
  <c r="L20"/>
  <c r="F44" i="10"/>
  <c r="E44"/>
  <c r="G44" s="1"/>
  <c r="F46"/>
  <c r="E46"/>
  <c r="H42" i="13" l="1"/>
  <c r="G45"/>
  <c r="H44" i="10"/>
  <c r="M27"/>
  <c r="L27"/>
  <c r="F43" i="12"/>
  <c r="E43"/>
  <c r="F42"/>
  <c r="E42"/>
  <c r="F41"/>
  <c r="E41"/>
  <c r="G41" s="1"/>
  <c r="H41" s="1"/>
  <c r="E40" i="10"/>
  <c r="M13" i="14"/>
  <c r="L26"/>
  <c r="M26" s="1"/>
  <c r="L6"/>
  <c r="M6" s="1"/>
  <c r="M20"/>
  <c r="L29"/>
  <c r="M29" s="1"/>
  <c r="L11"/>
  <c r="M11" s="1"/>
  <c r="M14"/>
  <c r="L21"/>
  <c r="M21" s="1"/>
  <c r="L19"/>
  <c r="M19" s="1"/>
  <c r="M15"/>
  <c r="M9"/>
  <c r="M35"/>
  <c r="M38"/>
  <c r="M10"/>
  <c r="M28"/>
  <c r="L28"/>
  <c r="M32"/>
  <c r="L32"/>
  <c r="M33"/>
  <c r="M30"/>
  <c r="M18"/>
  <c r="L18"/>
  <c r="M34"/>
  <c r="L34"/>
  <c r="L25"/>
  <c r="M25" s="1"/>
  <c r="M12"/>
  <c r="L12"/>
  <c r="M24"/>
  <c r="L16"/>
  <c r="M16" s="1"/>
  <c r="M17"/>
  <c r="F43" i="6"/>
  <c r="E43"/>
  <c r="F42"/>
  <c r="E42"/>
  <c r="F41"/>
  <c r="E41"/>
  <c r="G41" s="1"/>
  <c r="H41" s="1"/>
  <c r="L19"/>
  <c r="M19" s="1"/>
  <c r="L30"/>
  <c r="M30" s="1"/>
  <c r="L26"/>
  <c r="M26" s="1"/>
  <c r="M31"/>
  <c r="N29"/>
  <c r="F51" i="5"/>
  <c r="E51"/>
  <c r="F50"/>
  <c r="E50"/>
  <c r="F49"/>
  <c r="E49"/>
  <c r="E48"/>
  <c r="F47"/>
  <c r="E47"/>
  <c r="F46"/>
  <c r="E46"/>
  <c r="F45"/>
  <c r="E45"/>
  <c r="F43"/>
  <c r="E43"/>
  <c r="F41"/>
  <c r="E41"/>
  <c r="E42"/>
  <c r="N39" i="11" l="1"/>
  <c r="L7" i="10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6"/>
  <c r="M6" s="1"/>
  <c r="L30" i="11"/>
  <c r="M30" s="1"/>
  <c r="L11"/>
  <c r="M11" s="1"/>
  <c r="L35" i="14"/>
  <c r="F42"/>
  <c r="E42"/>
  <c r="E45" i="10" l="1"/>
  <c r="F40"/>
  <c r="E46" i="14"/>
  <c r="F52"/>
  <c r="E51"/>
  <c r="F48"/>
  <c r="E48"/>
  <c r="F47"/>
  <c r="E47"/>
  <c r="F46"/>
  <c r="F43"/>
  <c r="L7"/>
  <c r="M7" s="1"/>
  <c r="L8"/>
  <c r="M8" s="1"/>
  <c r="L9"/>
  <c r="L10"/>
  <c r="L13"/>
  <c r="L14"/>
  <c r="L15"/>
  <c r="L17"/>
  <c r="L20"/>
  <c r="L22"/>
  <c r="M22" s="1"/>
  <c r="L23"/>
  <c r="M23" s="1"/>
  <c r="L24"/>
  <c r="L27"/>
  <c r="M27" s="1"/>
  <c r="L30"/>
  <c r="L31"/>
  <c r="M31" s="1"/>
  <c r="L33"/>
  <c r="L36"/>
  <c r="M36" s="1"/>
  <c r="L37"/>
  <c r="M37" s="1"/>
  <c r="L38"/>
  <c r="L7" i="13"/>
  <c r="M7" s="1"/>
  <c r="L12"/>
  <c r="L13"/>
  <c r="L14"/>
  <c r="L15"/>
  <c r="M15" s="1"/>
  <c r="L19"/>
  <c r="M19" s="1"/>
  <c r="L22"/>
  <c r="M22" s="1"/>
  <c r="L23"/>
  <c r="L24"/>
  <c r="L26"/>
  <c r="M26" s="1"/>
  <c r="L29"/>
  <c r="M29" s="1"/>
  <c r="L30"/>
  <c r="M30" s="1"/>
  <c r="L33"/>
  <c r="L34"/>
  <c r="M34" s="1"/>
  <c r="L35"/>
  <c r="L36"/>
  <c r="M36" s="1"/>
  <c r="L6"/>
  <c r="M6" s="1"/>
  <c r="L7" i="12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6"/>
  <c r="M6" s="1"/>
  <c r="L7" i="11"/>
  <c r="M7" s="1"/>
  <c r="L8"/>
  <c r="M8" s="1"/>
  <c r="L9"/>
  <c r="M9" s="1"/>
  <c r="L10"/>
  <c r="M10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6"/>
  <c r="M6" s="1"/>
  <c r="L7" i="6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20"/>
  <c r="M20" s="1"/>
  <c r="L21"/>
  <c r="M21" s="1"/>
  <c r="L22"/>
  <c r="M22" s="1"/>
  <c r="L23"/>
  <c r="M23" s="1"/>
  <c r="L24"/>
  <c r="M24" s="1"/>
  <c r="L25"/>
  <c r="M25" s="1"/>
  <c r="L27"/>
  <c r="M27" s="1"/>
  <c r="L28"/>
  <c r="M28" s="1"/>
  <c r="L29"/>
  <c r="M29" s="1"/>
  <c r="L31"/>
  <c r="L32"/>
  <c r="M32" s="1"/>
  <c r="L33"/>
  <c r="M33" s="1"/>
  <c r="L34"/>
  <c r="M34" s="1"/>
  <c r="L35"/>
  <c r="M35" s="1"/>
  <c r="L36"/>
  <c r="M36" s="1"/>
  <c r="L37"/>
  <c r="M37" s="1"/>
  <c r="L6"/>
  <c r="M6" s="1"/>
  <c r="G42" i="14" l="1"/>
  <c r="H42" s="1"/>
  <c r="G41" i="5"/>
  <c r="H41" s="1"/>
  <c r="F45" i="6"/>
  <c r="E45"/>
  <c r="E51" i="13" l="1"/>
  <c r="F48"/>
  <c r="E48"/>
  <c r="F47"/>
  <c r="E47"/>
  <c r="F46"/>
  <c r="F45" i="12"/>
  <c r="E45"/>
  <c r="F47"/>
  <c r="E47"/>
  <c r="E46"/>
  <c r="E48" i="11"/>
  <c r="E47"/>
  <c r="E46"/>
  <c r="E42"/>
  <c r="F45" i="10"/>
  <c r="E52" i="14"/>
  <c r="F51"/>
  <c r="F50"/>
  <c r="E50"/>
  <c r="F49"/>
  <c r="E49"/>
  <c r="F44"/>
  <c r="F45" s="1"/>
  <c r="E44"/>
  <c r="E43"/>
  <c r="F52" i="13"/>
  <c r="E52"/>
  <c r="F51"/>
  <c r="F50"/>
  <c r="E50"/>
  <c r="F49"/>
  <c r="E49"/>
  <c r="F51" i="12"/>
  <c r="E51"/>
  <c r="F50"/>
  <c r="E50"/>
  <c r="F49"/>
  <c r="E49"/>
  <c r="F48"/>
  <c r="E48"/>
  <c r="F46"/>
  <c r="F52" i="11"/>
  <c r="E52"/>
  <c r="F51"/>
  <c r="E51"/>
  <c r="F50"/>
  <c r="E50"/>
  <c r="F49"/>
  <c r="E49"/>
  <c r="F48"/>
  <c r="F47"/>
  <c r="F46"/>
  <c r="F44"/>
  <c r="E44"/>
  <c r="F43"/>
  <c r="E43"/>
  <c r="F42"/>
  <c r="E42" i="10"/>
  <c r="E41"/>
  <c r="F50"/>
  <c r="E50"/>
  <c r="F49"/>
  <c r="E49"/>
  <c r="F48"/>
  <c r="E48"/>
  <c r="F47"/>
  <c r="E47"/>
  <c r="F42"/>
  <c r="F41"/>
  <c r="G45" i="5"/>
  <c r="H45" s="1"/>
  <c r="E44"/>
  <c r="F42"/>
  <c r="F45" i="11" l="1"/>
  <c r="E53" i="14"/>
  <c r="E45"/>
  <c r="G40" i="10"/>
  <c r="H40" s="1"/>
  <c r="F53" i="11"/>
  <c r="F45" i="13"/>
  <c r="F53"/>
  <c r="E45"/>
  <c r="G49" i="12"/>
  <c r="H49" s="1"/>
  <c r="E45" i="11"/>
  <c r="E51" i="10"/>
  <c r="E52" i="12"/>
  <c r="E44"/>
  <c r="E43" i="10"/>
  <c r="F44" i="12"/>
  <c r="G42"/>
  <c r="H42" s="1"/>
  <c r="G47"/>
  <c r="H47" s="1"/>
  <c r="G51"/>
  <c r="H51" s="1"/>
  <c r="E53" i="13"/>
  <c r="F51" i="10"/>
  <c r="G43" i="12"/>
  <c r="H43" s="1"/>
  <c r="G48"/>
  <c r="H48" s="1"/>
  <c r="F52"/>
  <c r="F53" i="14"/>
  <c r="F43" i="10"/>
  <c r="G46" i="12"/>
  <c r="H46" s="1"/>
  <c r="G50"/>
  <c r="H50" s="1"/>
  <c r="G43" i="14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G47" i="13"/>
  <c r="H47" s="1"/>
  <c r="G48"/>
  <c r="H48" s="1"/>
  <c r="G49"/>
  <c r="H49" s="1"/>
  <c r="G50"/>
  <c r="H50" s="1"/>
  <c r="G51"/>
  <c r="H51" s="1"/>
  <c r="G52"/>
  <c r="H52" s="1"/>
  <c r="E53" i="11"/>
  <c r="G43"/>
  <c r="H43" s="1"/>
  <c r="G44"/>
  <c r="H44" s="1"/>
  <c r="G47"/>
  <c r="H47" s="1"/>
  <c r="G48"/>
  <c r="H48" s="1"/>
  <c r="G49"/>
  <c r="H49" s="1"/>
  <c r="G50"/>
  <c r="H50" s="1"/>
  <c r="G51"/>
  <c r="H51" s="1"/>
  <c r="G52"/>
  <c r="H52" s="1"/>
  <c r="H45" i="14"/>
  <c r="G46"/>
  <c r="H46" s="1"/>
  <c r="G46" i="13"/>
  <c r="H46" s="1"/>
  <c r="G45" i="12"/>
  <c r="H45" s="1"/>
  <c r="G42" i="11"/>
  <c r="H42" s="1"/>
  <c r="G46"/>
  <c r="H46" s="1"/>
  <c r="G41" i="10"/>
  <c r="H41" s="1"/>
  <c r="G42"/>
  <c r="H42" s="1"/>
  <c r="G45"/>
  <c r="H45" s="1"/>
  <c r="G46"/>
  <c r="G47"/>
  <c r="H47" s="1"/>
  <c r="G48"/>
  <c r="H48" s="1"/>
  <c r="G49"/>
  <c r="H49" s="1"/>
  <c r="G50"/>
  <c r="H50" s="1"/>
  <c r="F48" i="5"/>
  <c r="H46" i="10" l="1"/>
  <c r="H51" s="1"/>
  <c r="G51"/>
  <c r="H53" i="14"/>
  <c r="H43" i="10"/>
  <c r="G45" i="14"/>
  <c r="G53"/>
  <c r="H45" i="13"/>
  <c r="G53"/>
  <c r="H53"/>
  <c r="G44" i="12"/>
  <c r="H44"/>
  <c r="G52"/>
  <c r="H52"/>
  <c r="G45" i="11"/>
  <c r="H45"/>
  <c r="G53"/>
  <c r="H53"/>
  <c r="G43" i="10"/>
  <c r="F51" i="6"/>
  <c r="E51"/>
  <c r="F50"/>
  <c r="E50"/>
  <c r="F49"/>
  <c r="E49"/>
  <c r="F48"/>
  <c r="E48"/>
  <c r="F47"/>
  <c r="E47"/>
  <c r="F46"/>
  <c r="E46"/>
  <c r="F44" i="5"/>
  <c r="E44" i="6" l="1"/>
  <c r="G42" l="1"/>
  <c r="H42" s="1"/>
  <c r="G43"/>
  <c r="H43" s="1"/>
  <c r="G45"/>
  <c r="H45" s="1"/>
  <c r="G46"/>
  <c r="H46" s="1"/>
  <c r="G51"/>
  <c r="H51" s="1"/>
  <c r="G47"/>
  <c r="H47" s="1"/>
  <c r="G49" l="1"/>
  <c r="H49" s="1"/>
  <c r="E52" l="1"/>
  <c r="F52"/>
  <c r="G50"/>
  <c r="H50" s="1"/>
  <c r="F44"/>
  <c r="G48"/>
  <c r="H48" s="1"/>
  <c r="H52" l="1"/>
  <c r="F52" i="5"/>
  <c r="G46"/>
  <c r="H46" s="1"/>
  <c r="G47"/>
  <c r="H47" s="1"/>
  <c r="G43"/>
  <c r="H43" s="1"/>
  <c r="E52"/>
  <c r="G44" i="6"/>
  <c r="H44"/>
  <c r="G52"/>
  <c r="G42" i="5"/>
  <c r="H42" s="1"/>
  <c r="G48"/>
  <c r="H48" s="1"/>
  <c r="G49"/>
  <c r="H49" s="1"/>
  <c r="G50"/>
  <c r="H50" s="1"/>
  <c r="G51"/>
  <c r="H51" s="1"/>
  <c r="H44" l="1"/>
  <c r="H52"/>
  <c r="G52"/>
  <c r="G44"/>
</calcChain>
</file>

<file path=xl/sharedStrings.xml><?xml version="1.0" encoding="utf-8"?>
<sst xmlns="http://schemas.openxmlformats.org/spreadsheetml/2006/main" count="1271" uniqueCount="293">
  <si>
    <t xml:space="preserve">STT
</t>
  </si>
  <si>
    <t xml:space="preserve">Họ Và Tên
</t>
  </si>
  <si>
    <t>Tháng
sinh</t>
  </si>
  <si>
    <t>Giới 
tính</t>
  </si>
  <si>
    <t>Chiều
Cao
(cm)</t>
  </si>
  <si>
    <t>Tình 
Trạng 
DD</t>
  </si>
  <si>
    <t>Cân 
Nặng
(kg)</t>
  </si>
  <si>
    <t>Ghi 
chú</t>
  </si>
  <si>
    <t>Nam</t>
  </si>
  <si>
    <t>BT</t>
  </si>
  <si>
    <t>BP</t>
  </si>
  <si>
    <t>Nữ</t>
  </si>
  <si>
    <t>TC</t>
  </si>
  <si>
    <t>NC</t>
  </si>
  <si>
    <t>Kết Quả(%)</t>
  </si>
  <si>
    <t>CHIỀU CAO</t>
  </si>
  <si>
    <t>TỔNG</t>
  </si>
  <si>
    <t>(%)</t>
  </si>
  <si>
    <t>GHI CHÚ</t>
  </si>
  <si>
    <t>Bình Thường</t>
  </si>
  <si>
    <t>TC.N</t>
  </si>
  <si>
    <t>Thấp còi mức độ nặng</t>
  </si>
  <si>
    <t>Thấp còi</t>
  </si>
  <si>
    <t>Béo phì</t>
  </si>
  <si>
    <t>CÂN NẶNG</t>
  </si>
  <si>
    <t>Th.C</t>
  </si>
  <si>
    <t>Thừa cân</t>
  </si>
  <si>
    <t>NC.N</t>
  </si>
  <si>
    <t>Nhẹ cân mức
 độ nặng</t>
  </si>
  <si>
    <t>Nhẹ cân</t>
  </si>
  <si>
    <t>GC</t>
  </si>
  <si>
    <t>Gầy còm</t>
  </si>
  <si>
    <t>GC.N</t>
  </si>
  <si>
    <t xml:space="preserve"> Gầy còm mức độ nặng</t>
  </si>
  <si>
    <t>GVCN</t>
  </si>
  <si>
    <t>TÍNH TỈ LỆ SDD CỦA TRẺ LỚP CHỒI 1</t>
  </si>
  <si>
    <t>Kết quả cân nặng và chiều cao của trẻ lớp chồi 1</t>
  </si>
  <si>
    <t>TÍNH TỈ LỆ SDD CỦA TRẺ LỚP CHỒI 2</t>
  </si>
  <si>
    <t>Kết quả cân nặng và chiều cao của trẻ lớp chồi 2</t>
  </si>
  <si>
    <t>TÍNH TỈ LỆ SDD CỦA TRẺ LỚP LÁ 1</t>
  </si>
  <si>
    <t>Kết quả cân nặng và chiều cao của trẻ lớp lá 1</t>
  </si>
  <si>
    <t>Đào Thị Cẩm Nhung</t>
  </si>
  <si>
    <t>TÍNH TỈ LỆ SDD CỦA TRẺ LỚP LÁ 2</t>
  </si>
  <si>
    <t>Kết quả cân nặng và chiều cao của trẻ lớp lá 2</t>
  </si>
  <si>
    <t>Huỳnh Thị Trọng</t>
  </si>
  <si>
    <t>TÍNH TỈ LỆ SDD CỦA TRẺ LỚP LÁ 4</t>
  </si>
  <si>
    <t>Kết quả cân nặng và chiều cao của trẻ lớp lá 4</t>
  </si>
  <si>
    <t>TÍNH TỈ LỆ SDD CỦA TRẺ LỚP LÁ 3</t>
  </si>
  <si>
    <t>Kết quả cân nặng và chiều cao của trẻ lớp lá 3</t>
  </si>
  <si>
    <t>Lương Gia Thành</t>
  </si>
  <si>
    <t>Trần Lê Bảo Ngọc</t>
  </si>
  <si>
    <t>Trần Đào Bình An</t>
  </si>
  <si>
    <t>Tô Ngọc An</t>
  </si>
  <si>
    <t>Mai Phúc Thịnh</t>
  </si>
  <si>
    <t>Võ Quang Anh</t>
  </si>
  <si>
    <t>Lê Ngọc Như Ý</t>
  </si>
  <si>
    <t>Nguyễn Hoàng Phương Uyên</t>
  </si>
  <si>
    <t>Nguyễn Hoàng Gia An</t>
  </si>
  <si>
    <t>Nguyễn Minh Vương</t>
  </si>
  <si>
    <t>Nguyễn Quốc Việt</t>
  </si>
  <si>
    <t>Nguyễn Ngọc Vân Anh</t>
  </si>
  <si>
    <t>Bùi Nguyễn Bảo Ngọc</t>
  </si>
  <si>
    <t>Nguyễn Ngọc Hà Anh</t>
  </si>
  <si>
    <t>Nguyễn Trần Ngọc Hân</t>
  </si>
  <si>
    <t>Nguyễn Ngọc An Nhiên</t>
  </si>
  <si>
    <t>Trần Bảo Ngọc</t>
  </si>
  <si>
    <t>Trần Đăng Khoa</t>
  </si>
  <si>
    <t>Hồ Nguyễn Gia Hân</t>
  </si>
  <si>
    <t>Phạm Minh Khôi</t>
  </si>
  <si>
    <t>Trần Minh Khôi</t>
  </si>
  <si>
    <t>Nguyễn Trần Hữu Nhân</t>
  </si>
  <si>
    <t>Lê Tiến Minh</t>
  </si>
  <si>
    <t>Lê Đỗ Gia Huy</t>
  </si>
  <si>
    <t>Nguyễn Hạ Vy</t>
  </si>
  <si>
    <t>Nguyễn Lê Thảo Nhi</t>
  </si>
  <si>
    <t>Trần Ngọc Hải Yến</t>
  </si>
  <si>
    <t>Nguyễn Trần Khả Hân</t>
  </si>
  <si>
    <t>Đỗ Ngọc Nhã Uyên</t>
  </si>
  <si>
    <t>Trương Đặng Thanh Ngân</t>
  </si>
  <si>
    <t>Mai Ngọc Như Ý</t>
  </si>
  <si>
    <t>Trần Thảo Nhi</t>
  </si>
  <si>
    <t>Trần Nguyễn Gia Huy</t>
  </si>
  <si>
    <t>Trần Thị Bảo Ngọc</t>
  </si>
  <si>
    <t>Phan Thiên Phúc</t>
  </si>
  <si>
    <t>Nguyễn Cao Phi</t>
  </si>
  <si>
    <t>Trần Tuấn Anh</t>
  </si>
  <si>
    <t>Nguyễn Bảo Thành Đạt</t>
  </si>
  <si>
    <t>Nguyễn Hoàng Thanh Vũ</t>
  </si>
  <si>
    <t>Nguyễn Trần Tuấn Anh</t>
  </si>
  <si>
    <t>Nguyễn Thanh Dũng</t>
  </si>
  <si>
    <t>Lê Nguyễn Minh Khôi</t>
  </si>
  <si>
    <t>Trần Gia Hưng</t>
  </si>
  <si>
    <t>Giêng Hữu Trí</t>
  </si>
  <si>
    <t>Nguyễn Gia Hân</t>
  </si>
  <si>
    <t>Trần Ngọc Phương Quỳnh</t>
  </si>
  <si>
    <t>Phạm Ngọc Lan Khuê</t>
  </si>
  <si>
    <t>Tô Thùy Trâm</t>
  </si>
  <si>
    <t>Phan Dương Ngọc Ngân</t>
  </si>
  <si>
    <t>Nguyễn Ngọc Hân</t>
  </si>
  <si>
    <t>Trần Hồ Khánh My</t>
  </si>
  <si>
    <t>Huỳnh Võ Ngọc Vy</t>
  </si>
  <si>
    <t>Nguyễn Hoàng Long</t>
  </si>
  <si>
    <t>Ngô Hữu Đức</t>
  </si>
  <si>
    <t>Võ Minh Đức</t>
  </si>
  <si>
    <t>Trần Ngọc Thảo My</t>
  </si>
  <si>
    <t>Đặng Ngọc Khánh Đoan</t>
  </si>
  <si>
    <t>TÍNH TỈ LỆ SDD CỦA TRẺ LỚP LÁ 5</t>
  </si>
  <si>
    <t>Kết quả cân nặng và chiều cao của trẻ lớp lá 5</t>
  </si>
  <si>
    <t>Hồ Nguyễn Quốc Duy</t>
  </si>
  <si>
    <t>Bùi Bảo Ngọc</t>
  </si>
  <si>
    <t>Lâm Tuyết Như</t>
  </si>
  <si>
    <t>Nguyễn Trần Bảo Yến</t>
  </si>
  <si>
    <t>Huỳnh Thị Mỹ Duyên</t>
  </si>
  <si>
    <t>Hồ Thị Phương Thảo</t>
  </si>
  <si>
    <t>Ngô Thị Bích Hằng</t>
  </si>
  <si>
    <t>Võ Thị Ngọc Trắng</t>
  </si>
  <si>
    <t>Đặng Thị Bảo Châu</t>
  </si>
  <si>
    <t>Lê Thị Cẩm Tiên</t>
  </si>
  <si>
    <t>Nguyễn Ngọc Bảo Hân</t>
  </si>
  <si>
    <t>Nguyễn Ngọc Thanh Mai</t>
  </si>
  <si>
    <t>Nguyễn Minh Khôi</t>
  </si>
  <si>
    <t>Nguyễn Trần Gia Huy</t>
  </si>
  <si>
    <t>Thái Vũ Anh</t>
  </si>
  <si>
    <t>Trần Gia Huy</t>
  </si>
  <si>
    <t>Trần Gia Phát</t>
  </si>
  <si>
    <t>Trần Hoàng Nhân</t>
  </si>
  <si>
    <t>Trần Minh Tiến</t>
  </si>
  <si>
    <t>Trịnh Nguyễn Gia Hưng</t>
  </si>
  <si>
    <t>Trương Bùi Minh Trí</t>
  </si>
  <si>
    <t>Trương Lê Phúc Vinh</t>
  </si>
  <si>
    <t>Nguyễn Thị Kim Thân</t>
  </si>
  <si>
    <t>Nguyễn Thị Thảo My</t>
  </si>
  <si>
    <t>Phạm Phương Vy</t>
  </si>
  <si>
    <t>Phạm Trần Bảo Trân</t>
  </si>
  <si>
    <t>Trịnh Huỳnh Kim Ngân</t>
  </si>
  <si>
    <t>Trần Hồng Như Ý</t>
  </si>
  <si>
    <t>Trương Ngọc Khánh Chi</t>
  </si>
  <si>
    <t>Võ Nguyễn Xuân Hoa</t>
  </si>
  <si>
    <t>Trần Nguyễn Kim Ngân</t>
  </si>
  <si>
    <t>Lê Thị Xuân Mai</t>
  </si>
  <si>
    <t>Trần Phạm Như Ý</t>
  </si>
  <si>
    <t>Nguyễn Phúc Phương Khanh</t>
  </si>
  <si>
    <t>Vũ Đình Nguyên</t>
  </si>
  <si>
    <t>Nguyễn Tuấn Hưng</t>
  </si>
  <si>
    <t>Nguyễn Kim Chi</t>
  </si>
  <si>
    <t xml:space="preserve">Lê Nhã Thiên Kim </t>
  </si>
  <si>
    <t>Đỗ Nguyễn Đăng Khoa</t>
  </si>
  <si>
    <t>Dương Hải Đăng</t>
  </si>
  <si>
    <t>Hà Xuân Quang Khải</t>
  </si>
  <si>
    <t>Hồ Minh Khang</t>
  </si>
  <si>
    <t>Huỳnh Gia Linh</t>
  </si>
  <si>
    <t>Huỳnh Tuấn Kiệt</t>
  </si>
  <si>
    <t>Lê Ngọc Thiên Ân</t>
  </si>
  <si>
    <t>Lê Nhựt Nam</t>
  </si>
  <si>
    <t>Mai Anh Huy</t>
  </si>
  <si>
    <t>Nguyễn Hoàng Tấn Lộc</t>
  </si>
  <si>
    <t>Phan Phúc Thiện</t>
  </si>
  <si>
    <t>Dương Hà Kiều Anh</t>
  </si>
  <si>
    <t>Dương Ngọc Bảo Châu</t>
  </si>
  <si>
    <t>Huỳnh Thiên Thư</t>
  </si>
  <si>
    <t>Lê Ngọc Ngân</t>
  </si>
  <si>
    <t>Lê Nguyễn Tú Sương</t>
  </si>
  <si>
    <t>Lê Nhật Minh Khuê</t>
  </si>
  <si>
    <t>Nguyễn Hoàng Phương Nghi</t>
  </si>
  <si>
    <t>Nguyễn Huỳnh Thiên An</t>
  </si>
  <si>
    <t>Nguyễn Ngọc Tâm Đan</t>
  </si>
  <si>
    <t>Trà Thiên Di</t>
  </si>
  <si>
    <t>Nguyễn Trung Kiên</t>
  </si>
  <si>
    <t>Ngô Thị Ngọc Yến</t>
  </si>
  <si>
    <t>Trần Nhật Huy</t>
  </si>
  <si>
    <t>Lưu Võ Hoàng Thành</t>
  </si>
  <si>
    <t>Nguyễn Tấn Tiến</t>
  </si>
  <si>
    <t>Lê Thanh Phú</t>
  </si>
  <si>
    <t>Trần Phạm Thiên Kim</t>
  </si>
  <si>
    <t>Đoàn Lý Anh Kiệt</t>
  </si>
  <si>
    <t>Hồ Gia Phúc</t>
  </si>
  <si>
    <t>Lê Đức Duy</t>
  </si>
  <si>
    <t>Lê Duy Khánh</t>
  </si>
  <si>
    <t>Diệp Lê Minh  Tú</t>
  </si>
  <si>
    <t>Dương Nguyễn Bảo Anh</t>
  </si>
  <si>
    <t>Huỳnh Minh Thư</t>
  </si>
  <si>
    <t>Nguyễn Lê Gia Nhi</t>
  </si>
  <si>
    <t>Nguyễn Ngọc Kim Ngân</t>
  </si>
  <si>
    <t>Nguyễn Thị Cẩm Tiên</t>
  </si>
  <si>
    <t>Trần Ngọc Như Quỳnh</t>
  </si>
  <si>
    <t>Nguyễn Thanh Long</t>
  </si>
  <si>
    <t>Nguyễn Lê Gia Hân</t>
  </si>
  <si>
    <t>Huỳnh Thiên Khôi</t>
  </si>
  <si>
    <t>Giêng Hoàng Đức</t>
  </si>
  <si>
    <t>Nguyễn Hoàng Thịnh</t>
  </si>
  <si>
    <t>Dương Quốc Mạnh</t>
  </si>
  <si>
    <t>Nguyễn Ngọc Thiên Băng</t>
  </si>
  <si>
    <t>Lê Phước Lộc</t>
  </si>
  <si>
    <t>Lê Quốc Thiên</t>
  </si>
  <si>
    <t>Lê Tấn Thành</t>
  </si>
  <si>
    <t>Nguyễn Chí Thiện</t>
  </si>
  <si>
    <t>Nguyễn Hoài Phương</t>
  </si>
  <si>
    <t>Nguyễn Phan Long An</t>
  </si>
  <si>
    <t>Huỳnh Bảo Anh</t>
  </si>
  <si>
    <t>Huỳnh Ngọc An Nhiên</t>
  </si>
  <si>
    <t>Huỳnh Nguyễn Thúy An</t>
  </si>
  <si>
    <t>Huỳnh Như Ngọc Tiên</t>
  </si>
  <si>
    <t>Lâm Ngọc Tú Quyên Quyên</t>
  </si>
  <si>
    <t>Nguyễn Ngọc Nhã Thư</t>
  </si>
  <si>
    <t>Nguyễn Ngọc Như Ý</t>
  </si>
  <si>
    <t>Nguyễn Ngọc Thùy Linh</t>
  </si>
  <si>
    <t>Nguyễn Ngọc Yến Nhi</t>
  </si>
  <si>
    <t>Nguyễn Thảo Linh</t>
  </si>
  <si>
    <t>Nguyễn Lê Hoàng Nhân</t>
  </si>
  <si>
    <t>Lý Trà My</t>
  </si>
  <si>
    <t>Trần Thiên Ái</t>
  </si>
  <si>
    <t>Tống Phúc Đạt</t>
  </si>
  <si>
    <t>Bùi Bảo Long</t>
  </si>
  <si>
    <t>Đỗ Tiến Mạnh</t>
  </si>
  <si>
    <t>Nguyễn Tấn Phát</t>
  </si>
  <si>
    <t>Nguyễn Thanh Thiện</t>
  </si>
  <si>
    <t>Nguyễn Thế Giàu</t>
  </si>
  <si>
    <t>Nguyễn Trần Minh Tiến</t>
  </si>
  <si>
    <t>Tô Anh Duy</t>
  </si>
  <si>
    <t>Lê Ngọc Nhiên</t>
  </si>
  <si>
    <t>Lê Nguyễn Ánh Dương</t>
  </si>
  <si>
    <t>Lê Phạm Trà My</t>
  </si>
  <si>
    <t xml:space="preserve">Nguyễn Thị Chúc An </t>
  </si>
  <si>
    <t>Phạm Thanh Tú Vy</t>
  </si>
  <si>
    <t>Thị Thúy An</t>
  </si>
  <si>
    <t>Trần Mai Như Quỳnh</t>
  </si>
  <si>
    <t xml:space="preserve">Trần Nguyễn Minh Khôi </t>
  </si>
  <si>
    <t>Nguyễn Thịnh Phát</t>
  </si>
  <si>
    <t>Nguyễn Thị Mỹ Tiên</t>
  </si>
  <si>
    <t>Huỳnh Bảo Lâm</t>
  </si>
  <si>
    <t>Nguyễn Ngọc Đăng Khôi</t>
  </si>
  <si>
    <t>Nguyễn Ngọc Tố Quyên</t>
  </si>
  <si>
    <t>Võ Trấn Minh</t>
  </si>
  <si>
    <t>Nguyễn Phúc Lâm</t>
  </si>
  <si>
    <t>Nguyễn Quốc Thịnh</t>
  </si>
  <si>
    <t>Lê Yến Nhi</t>
  </si>
  <si>
    <t>Trần Nguyễn Ngọc Tuyền</t>
  </si>
  <si>
    <t>Trần Thị Như Ý</t>
  </si>
  <si>
    <t>Trần Huỳnh Bảo Ngọc</t>
  </si>
  <si>
    <t>Nguyễn Ngọc Bình</t>
  </si>
  <si>
    <t>Võ Ngọc Thiên Phú</t>
  </si>
  <si>
    <t>Trần Ngọc Gia Linh</t>
  </si>
  <si>
    <t>Đặng Ngọc Anh Thư</t>
  </si>
  <si>
    <t>Nguyễn Gia Thịnh</t>
  </si>
  <si>
    <t>Trần Thanh Duy</t>
  </si>
  <si>
    <t>Nguyễn Minh Khoa</t>
  </si>
  <si>
    <t>Trương Hoàng Nhân</t>
  </si>
  <si>
    <t>Trương Quốc Khánh</t>
  </si>
  <si>
    <t>Văn Thái Dương</t>
  </si>
  <si>
    <t>Nguyễn Hoàng Khả Diệp</t>
  </si>
  <si>
    <t>Nguyễn Lê Như Thảo</t>
  </si>
  <si>
    <t>Nguyễn Cao Thiên Ý</t>
  </si>
  <si>
    <t>Trịnh Nguyễn Gia Hân</t>
  </si>
  <si>
    <t>Trương Nguyễn An Nhiên</t>
  </si>
  <si>
    <t>Võ Hà My</t>
  </si>
  <si>
    <t>Võ Thị Thanh Ngân</t>
  </si>
  <si>
    <t>Trần Lê Như Ngọc</t>
  </si>
  <si>
    <t>Nông Bảo Long</t>
  </si>
  <si>
    <t>Võ Trương Ngân Anh</t>
  </si>
  <si>
    <t>Nguyễn Ngọc Kim Anh</t>
  </si>
  <si>
    <t>Nguyễn Minh Khánh</t>
  </si>
  <si>
    <t>Lê Minh Sấm</t>
  </si>
  <si>
    <t>Hồ Thanh Tuấn</t>
  </si>
  <si>
    <t>Đặng Ngọc Linh Đan</t>
  </si>
  <si>
    <t>Đoàn Thị Cẩm Hồng</t>
  </si>
  <si>
    <t>Nguyễn Hoàng Mỹ Uyên</t>
  </si>
  <si>
    <t>Phạm Thị Thùy Dung</t>
  </si>
  <si>
    <t>Đặng Thiên Phúc</t>
  </si>
  <si>
    <t>Nguyễn Đăng Khôi</t>
  </si>
  <si>
    <t>Nguyễn Ngọc Trâm Anh</t>
  </si>
  <si>
    <t>Nguyễn Lê Thành Phúc</t>
  </si>
  <si>
    <t>Trần Nguyễn Anh Thơ</t>
  </si>
  <si>
    <t>Nguyễn Bảo Huy Anh</t>
  </si>
  <si>
    <t>Lê Minh Khánh</t>
  </si>
  <si>
    <t>Số Trẻ Được Cân: 14 nam,  18 nữ</t>
  </si>
  <si>
    <t>Số Trẻ Được Cân: 17 nam, 16 nữ</t>
  </si>
  <si>
    <t>Số Trẻ Được Cân: 16 nam, 16 nữ</t>
  </si>
  <si>
    <t>Nguyễn Hoàng Mai Khôi</t>
  </si>
  <si>
    <t>Số Trẻ Được Cân: 17 nam, 15 nữ</t>
  </si>
  <si>
    <t>Phạm Như Ý</t>
  </si>
  <si>
    <t>Số Trẻ Được Cân:  17 nam, 14 nữ</t>
  </si>
  <si>
    <t>Số Trẻ Được Cân:  14 nam, 16 nữ</t>
  </si>
  <si>
    <t>Trương Hoàng Phát</t>
  </si>
  <si>
    <t>Số Trẻ Được Cân: 13  nam, 19 nữ</t>
  </si>
  <si>
    <t>Lê Ngọc Kim Ngân</t>
  </si>
  <si>
    <t xml:space="preserve"> </t>
  </si>
  <si>
    <t>Nguyễn Minh Đăng</t>
  </si>
  <si>
    <t xml:space="preserve"> Nguyễn Đăng Khoa</t>
  </si>
  <si>
    <t>Nguyễn Duy Khang</t>
  </si>
  <si>
    <t>Long Hậu, ngày  13 tháng  12 năm  2024</t>
  </si>
  <si>
    <t xml:space="preserve">Long Hậu, ngày  13 tháng  12 năm 2024 </t>
  </si>
  <si>
    <t>Phạm Thị Thanh Quyền</t>
  </si>
  <si>
    <t>Long Hậu, ngày 13 tháng 12 năm 2024</t>
  </si>
</sst>
</file>

<file path=xl/styles.xml><?xml version="1.0" encoding="utf-8"?>
<styleSheet xmlns="http://schemas.openxmlformats.org/spreadsheetml/2006/main">
  <numFmts count="1">
    <numFmt numFmtId="164" formatCode="mm"/>
  </numFmts>
  <fonts count="26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4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9">
    <xf numFmtId="0" fontId="0" fillId="0" borderId="0" xfId="0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8" fillId="0" borderId="2" xfId="0" applyNumberFormat="1" applyFont="1" applyBorder="1"/>
    <xf numFmtId="0" fontId="8" fillId="0" borderId="0" xfId="0" applyFont="1" applyFill="1"/>
    <xf numFmtId="0" fontId="8" fillId="0" borderId="0" xfId="0" applyFont="1"/>
    <xf numFmtId="0" fontId="7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Fill="1"/>
    <xf numFmtId="0" fontId="7" fillId="0" borderId="2" xfId="1" applyFont="1" applyBorder="1" applyAlignment="1">
      <alignment horizontal="center"/>
    </xf>
    <xf numFmtId="0" fontId="3" fillId="0" borderId="0" xfId="1" applyFont="1" applyBorder="1" applyAlignment="1"/>
    <xf numFmtId="0" fontId="3" fillId="0" borderId="2" xfId="1" applyFont="1" applyBorder="1" applyAlignment="1">
      <alignment horizontal="center"/>
    </xf>
    <xf numFmtId="0" fontId="3" fillId="0" borderId="0" xfId="1" applyFont="1" applyFill="1" applyBorder="1" applyAlignment="1"/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/>
    <xf numFmtId="0" fontId="7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Fill="1"/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7" fillId="0" borderId="0" xfId="1" applyFont="1" applyBorder="1"/>
    <xf numFmtId="0" fontId="3" fillId="0" borderId="0" xfId="1" applyFont="1" applyBorder="1" applyAlignment="1">
      <alignment vertical="center"/>
    </xf>
    <xf numFmtId="0" fontId="12" fillId="0" borderId="0" xfId="1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0" xfId="1" applyFont="1" applyBorder="1"/>
    <xf numFmtId="0" fontId="7" fillId="0" borderId="0" xfId="1" applyFont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7" fillId="0" borderId="2" xfId="1" applyFont="1" applyBorder="1"/>
    <xf numFmtId="0" fontId="7" fillId="0" borderId="2" xfId="1" applyNumberFormat="1" applyFont="1" applyBorder="1"/>
    <xf numFmtId="0" fontId="13" fillId="0" borderId="0" xfId="0" applyFont="1"/>
    <xf numFmtId="0" fontId="7" fillId="0" borderId="2" xfId="1" applyFont="1" applyFill="1" applyBorder="1" applyAlignment="1">
      <alignment horizontal="center"/>
    </xf>
    <xf numFmtId="0" fontId="7" fillId="0" borderId="0" xfId="1" applyFont="1" applyFill="1" applyBorder="1"/>
    <xf numFmtId="0" fontId="14" fillId="0" borderId="0" xfId="0" applyNumberFormat="1" applyFont="1" applyAlignment="1">
      <alignment horizontal="center"/>
    </xf>
    <xf numFmtId="0" fontId="14" fillId="0" borderId="0" xfId="0" applyFont="1" applyFill="1"/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2" fillId="0" borderId="6" xfId="0" applyFont="1" applyBorder="1" applyAlignment="1"/>
    <xf numFmtId="0" fontId="14" fillId="0" borderId="0" xfId="1" applyNumberFormat="1" applyFont="1" applyAlignment="1">
      <alignment horizontal="center"/>
    </xf>
    <xf numFmtId="0" fontId="14" fillId="0" borderId="0" xfId="1" applyFont="1" applyFill="1"/>
    <xf numFmtId="0" fontId="14" fillId="0" borderId="0" xfId="1" applyFont="1" applyBorder="1" applyAlignment="1">
      <alignment horizontal="center"/>
    </xf>
    <xf numFmtId="0" fontId="14" fillId="0" borderId="0" xfId="1" applyFont="1"/>
    <xf numFmtId="0" fontId="3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164" fontId="6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1" applyFont="1" applyBorder="1" applyAlignment="1"/>
    <xf numFmtId="0" fontId="16" fillId="0" borderId="0" xfId="0" applyFont="1" applyAlignment="1"/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8" fillId="0" borderId="2" xfId="0" applyFont="1" applyBorder="1"/>
    <xf numFmtId="0" fontId="6" fillId="0" borderId="5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 applyProtection="1">
      <alignment horizontal="left" vertical="center"/>
      <protection locked="0"/>
    </xf>
    <xf numFmtId="164" fontId="3" fillId="0" borderId="0" xfId="1" applyNumberFormat="1" applyFont="1" applyBorder="1" applyAlignment="1"/>
    <xf numFmtId="164" fontId="3" fillId="0" borderId="0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 applyBorder="1" applyAlignment="1"/>
    <xf numFmtId="164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15" fillId="0" borderId="0" xfId="0" applyFont="1" applyAlignment="1"/>
    <xf numFmtId="0" fontId="20" fillId="0" borderId="0" xfId="0" applyFont="1" applyBorder="1" applyAlignment="1"/>
    <xf numFmtId="0" fontId="6" fillId="0" borderId="1" xfId="0" applyFont="1" applyFill="1" applyBorder="1" applyAlignment="1">
      <alignment horizontal="center" wrapText="1"/>
    </xf>
    <xf numFmtId="164" fontId="6" fillId="0" borderId="2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0" fillId="0" borderId="0" xfId="0" applyFont="1" applyAlignment="1"/>
    <xf numFmtId="0" fontId="20" fillId="0" borderId="0" xfId="0" applyFont="1" applyBorder="1"/>
    <xf numFmtId="0" fontId="0" fillId="0" borderId="0" xfId="0" applyFont="1"/>
    <xf numFmtId="0" fontId="22" fillId="0" borderId="0" xfId="0" applyFont="1" applyBorder="1"/>
    <xf numFmtId="0" fontId="19" fillId="0" borderId="2" xfId="0" applyFont="1" applyBorder="1" applyAlignment="1"/>
    <xf numFmtId="0" fontId="6" fillId="0" borderId="2" xfId="0" applyFont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164" fontId="6" fillId="0" borderId="2" xfId="0" applyNumberFormat="1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8" fillId="0" borderId="2" xfId="0" applyFont="1" applyBorder="1" applyAlignment="1"/>
    <xf numFmtId="0" fontId="21" fillId="0" borderId="2" xfId="0" applyFont="1" applyBorder="1" applyAlignment="1" applyProtection="1">
      <alignment horizontal="left"/>
    </xf>
    <xf numFmtId="0" fontId="18" fillId="0" borderId="0" xfId="0" applyFont="1" applyBorder="1" applyAlignment="1"/>
    <xf numFmtId="0" fontId="7" fillId="0" borderId="2" xfId="0" applyFont="1" applyBorder="1" applyAlignment="1" applyProtection="1">
      <alignment horizontal="left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Fill="1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/>
    <xf numFmtId="0" fontId="7" fillId="0" borderId="0" xfId="0" applyFont="1" applyBorder="1" applyAlignment="1">
      <alignment horizontal="center" wrapText="1"/>
    </xf>
    <xf numFmtId="164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</xf>
    <xf numFmtId="164" fontId="7" fillId="0" borderId="2" xfId="0" applyNumberFormat="1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left" wrapText="1"/>
    </xf>
    <xf numFmtId="0" fontId="7" fillId="0" borderId="7" xfId="0" applyFont="1" applyBorder="1" applyAlignment="1" applyProtection="1">
      <alignment horizontal="left"/>
    </xf>
    <xf numFmtId="0" fontId="25" fillId="0" borderId="2" xfId="0" applyFont="1" applyBorder="1" applyAlignment="1" applyProtection="1">
      <alignment horizontal="left"/>
    </xf>
    <xf numFmtId="0" fontId="16" fillId="0" borderId="2" xfId="0" applyFont="1" applyBorder="1" applyAlignment="1"/>
    <xf numFmtId="0" fontId="15" fillId="0" borderId="1" xfId="0" applyFont="1" applyBorder="1" applyAlignment="1">
      <alignment horizontal="center" wrapText="1"/>
    </xf>
    <xf numFmtId="0" fontId="19" fillId="0" borderId="0" xfId="1" applyFont="1" applyBorder="1" applyAlignment="1"/>
    <xf numFmtId="0" fontId="0" fillId="0" borderId="0" xfId="0" applyFont="1" applyBorder="1" applyAlignment="1"/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left"/>
      <protection locked="0"/>
    </xf>
    <xf numFmtId="0" fontId="19" fillId="0" borderId="0" xfId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21" fillId="0" borderId="1" xfId="0" applyFont="1" applyBorder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2" xfId="0" applyFont="1" applyBorder="1" applyAlignment="1" applyProtection="1">
      <alignment horizontal="left" vertical="center"/>
    </xf>
    <xf numFmtId="164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/>
    <xf numFmtId="0" fontId="19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7" fillId="0" borderId="5" xfId="1" applyFont="1" applyBorder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0" fillId="0" borderId="2" xfId="0" applyFont="1" applyBorder="1" applyAlignment="1"/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6"/>
  <sheetViews>
    <sheetView workbookViewId="0">
      <selection activeCell="C41" sqref="C41"/>
    </sheetView>
  </sheetViews>
  <sheetFormatPr defaultRowHeight="15"/>
  <cols>
    <col min="1" max="1" width="5" customWidth="1"/>
    <col min="2" max="2" width="5.5703125" customWidth="1"/>
    <col min="3" max="3" width="24" customWidth="1"/>
    <col min="4" max="4" width="8.42578125" style="105" customWidth="1"/>
    <col min="5" max="5" width="7.140625" customWidth="1"/>
    <col min="6" max="6" width="7.28515625" customWidth="1"/>
    <col min="7" max="8" width="8.140625" customWidth="1"/>
    <col min="9" max="9" width="7.85546875" customWidth="1"/>
    <col min="10" max="10" width="6.85546875" customWidth="1"/>
  </cols>
  <sheetData>
    <row r="1" spans="2:13" ht="20.25">
      <c r="B1" s="186" t="s">
        <v>35</v>
      </c>
      <c r="C1" s="186"/>
      <c r="D1" s="186"/>
      <c r="E1" s="186"/>
      <c r="F1" s="186"/>
      <c r="G1" s="186"/>
      <c r="H1" s="186"/>
      <c r="I1" s="186"/>
      <c r="J1" s="186"/>
      <c r="K1" s="186"/>
    </row>
    <row r="2" spans="2:13" ht="18.75">
      <c r="B2" s="187" t="s">
        <v>36</v>
      </c>
      <c r="C2" s="187"/>
      <c r="D2" s="187"/>
      <c r="E2" s="187"/>
      <c r="F2" s="187"/>
      <c r="G2" s="187"/>
      <c r="H2" s="187"/>
      <c r="I2" s="187"/>
      <c r="J2" s="187"/>
      <c r="K2" s="187"/>
    </row>
    <row r="3" spans="2:13" ht="20.25" customHeight="1">
      <c r="B3" s="188" t="s">
        <v>0</v>
      </c>
      <c r="C3" s="183" t="s">
        <v>1</v>
      </c>
      <c r="D3" s="193" t="s">
        <v>2</v>
      </c>
      <c r="E3" s="188" t="s">
        <v>3</v>
      </c>
      <c r="F3" s="196" t="s">
        <v>4</v>
      </c>
      <c r="G3" s="188" t="s">
        <v>5</v>
      </c>
      <c r="H3" s="196" t="s">
        <v>6</v>
      </c>
      <c r="I3" s="188" t="s">
        <v>5</v>
      </c>
      <c r="J3" s="188" t="s">
        <v>7</v>
      </c>
      <c r="K3" s="48"/>
      <c r="L3" s="46"/>
      <c r="M3" s="46"/>
    </row>
    <row r="4" spans="2:13" ht="15.75">
      <c r="B4" s="189"/>
      <c r="C4" s="191"/>
      <c r="D4" s="194"/>
      <c r="E4" s="189"/>
      <c r="F4" s="197"/>
      <c r="G4" s="189"/>
      <c r="H4" s="197"/>
      <c r="I4" s="189"/>
      <c r="J4" s="189"/>
      <c r="K4" s="49"/>
      <c r="L4" s="46"/>
      <c r="M4" s="46"/>
    </row>
    <row r="5" spans="2:13" ht="15.75">
      <c r="B5" s="190"/>
      <c r="C5" s="192"/>
      <c r="D5" s="195"/>
      <c r="E5" s="190"/>
      <c r="F5" s="198"/>
      <c r="G5" s="190"/>
      <c r="H5" s="198"/>
      <c r="I5" s="190"/>
      <c r="J5" s="190"/>
      <c r="K5" s="50"/>
      <c r="L5" s="46"/>
      <c r="M5" s="46"/>
    </row>
    <row r="6" spans="2:13" s="116" customFormat="1" ht="30" customHeight="1">
      <c r="B6" s="96">
        <v>1</v>
      </c>
      <c r="C6" s="121" t="s">
        <v>147</v>
      </c>
      <c r="D6" s="114">
        <v>43833</v>
      </c>
      <c r="E6" s="115" t="s">
        <v>8</v>
      </c>
      <c r="F6" s="179">
        <v>117</v>
      </c>
      <c r="G6" s="51" t="s">
        <v>9</v>
      </c>
      <c r="H6" s="51">
        <v>19</v>
      </c>
      <c r="I6" s="51" t="s">
        <v>9</v>
      </c>
      <c r="J6" s="51"/>
      <c r="K6" s="151"/>
      <c r="L6" s="46"/>
      <c r="M6" s="46"/>
    </row>
    <row r="7" spans="2:13" s="116" customFormat="1" ht="30" customHeight="1">
      <c r="B7" s="96">
        <v>2</v>
      </c>
      <c r="C7" s="121" t="s">
        <v>154</v>
      </c>
      <c r="D7" s="114">
        <v>43835</v>
      </c>
      <c r="E7" s="115" t="s">
        <v>8</v>
      </c>
      <c r="F7" s="179">
        <v>112</v>
      </c>
      <c r="G7" s="51" t="s">
        <v>9</v>
      </c>
      <c r="H7" s="51">
        <v>19</v>
      </c>
      <c r="I7" s="51" t="s">
        <v>9</v>
      </c>
      <c r="J7" s="51"/>
      <c r="K7" s="151"/>
      <c r="L7" s="46"/>
      <c r="M7" s="46"/>
    </row>
    <row r="8" spans="2:13" s="116" customFormat="1" ht="30" customHeight="1">
      <c r="B8" s="96">
        <v>3</v>
      </c>
      <c r="C8" s="121" t="s">
        <v>164</v>
      </c>
      <c r="D8" s="114">
        <v>43839</v>
      </c>
      <c r="E8" s="115" t="s">
        <v>11</v>
      </c>
      <c r="F8" s="179">
        <v>112</v>
      </c>
      <c r="G8" s="51" t="s">
        <v>9</v>
      </c>
      <c r="H8" s="51">
        <v>19</v>
      </c>
      <c r="I8" s="51" t="s">
        <v>9</v>
      </c>
      <c r="J8" s="51"/>
      <c r="K8" s="151"/>
      <c r="L8" s="46"/>
      <c r="M8" s="46"/>
    </row>
    <row r="9" spans="2:13" s="116" customFormat="1" ht="30" customHeight="1">
      <c r="B9" s="96">
        <v>4</v>
      </c>
      <c r="C9" s="121" t="s">
        <v>149</v>
      </c>
      <c r="D9" s="114">
        <v>43847</v>
      </c>
      <c r="E9" s="115" t="s">
        <v>8</v>
      </c>
      <c r="F9" s="179">
        <v>114</v>
      </c>
      <c r="G9" s="51" t="s">
        <v>9</v>
      </c>
      <c r="H9" s="51">
        <v>20</v>
      </c>
      <c r="I9" s="51" t="s">
        <v>9</v>
      </c>
      <c r="J9" s="51"/>
      <c r="K9" s="151"/>
      <c r="L9" s="152"/>
      <c r="M9" s="152"/>
    </row>
    <row r="10" spans="2:13" s="116" customFormat="1" ht="30" customHeight="1">
      <c r="B10" s="96">
        <v>5</v>
      </c>
      <c r="C10" s="121" t="s">
        <v>64</v>
      </c>
      <c r="D10" s="114">
        <v>43851</v>
      </c>
      <c r="E10" s="115" t="s">
        <v>11</v>
      </c>
      <c r="F10" s="179">
        <v>113</v>
      </c>
      <c r="G10" s="51" t="s">
        <v>9</v>
      </c>
      <c r="H10" s="51">
        <v>18</v>
      </c>
      <c r="I10" s="51" t="s">
        <v>9</v>
      </c>
      <c r="J10" s="51"/>
      <c r="K10" s="151"/>
      <c r="L10" s="46"/>
      <c r="M10" s="46"/>
    </row>
    <row r="11" spans="2:13" s="116" customFormat="1" ht="30" customHeight="1">
      <c r="B11" s="96">
        <v>6</v>
      </c>
      <c r="C11" s="121" t="s">
        <v>167</v>
      </c>
      <c r="D11" s="114">
        <v>43851</v>
      </c>
      <c r="E11" s="115" t="s">
        <v>8</v>
      </c>
      <c r="F11" s="179">
        <v>113</v>
      </c>
      <c r="G11" s="51" t="s">
        <v>9</v>
      </c>
      <c r="H11" s="51">
        <v>23</v>
      </c>
      <c r="I11" s="51" t="s">
        <v>9</v>
      </c>
      <c r="J11" s="51"/>
      <c r="K11" s="151"/>
      <c r="L11" s="46"/>
      <c r="M11" s="46"/>
    </row>
    <row r="12" spans="2:13" s="116" customFormat="1" ht="30" customHeight="1">
      <c r="B12" s="96">
        <v>7</v>
      </c>
      <c r="C12" s="121" t="s">
        <v>170</v>
      </c>
      <c r="D12" s="114">
        <v>43854</v>
      </c>
      <c r="E12" s="115" t="s">
        <v>8</v>
      </c>
      <c r="F12" s="179">
        <v>97</v>
      </c>
      <c r="G12" s="51" t="s">
        <v>12</v>
      </c>
      <c r="H12" s="51">
        <v>13</v>
      </c>
      <c r="I12" s="51" t="s">
        <v>13</v>
      </c>
      <c r="J12" s="51"/>
      <c r="K12" s="151"/>
      <c r="L12" s="46"/>
      <c r="M12" s="46"/>
    </row>
    <row r="13" spans="2:13" s="116" customFormat="1" ht="30" customHeight="1">
      <c r="B13" s="96">
        <v>8</v>
      </c>
      <c r="C13" s="121" t="s">
        <v>279</v>
      </c>
      <c r="D13" s="114">
        <v>43834</v>
      </c>
      <c r="E13" s="115" t="s">
        <v>11</v>
      </c>
      <c r="F13" s="179">
        <v>104</v>
      </c>
      <c r="G13" s="153" t="s">
        <v>9</v>
      </c>
      <c r="H13" s="153">
        <v>14</v>
      </c>
      <c r="I13" s="153" t="s">
        <v>9</v>
      </c>
      <c r="J13" s="51"/>
      <c r="K13" s="151"/>
      <c r="L13" s="46"/>
      <c r="M13" s="46"/>
    </row>
    <row r="14" spans="2:13" s="116" customFormat="1" ht="30" customHeight="1">
      <c r="B14" s="178">
        <v>9</v>
      </c>
      <c r="C14" s="129" t="s">
        <v>288</v>
      </c>
      <c r="D14" s="130">
        <v>43866</v>
      </c>
      <c r="E14" s="131" t="s">
        <v>8</v>
      </c>
      <c r="F14" s="179">
        <v>117</v>
      </c>
      <c r="G14" s="153" t="s">
        <v>9</v>
      </c>
      <c r="H14" s="153">
        <v>25</v>
      </c>
      <c r="I14" s="153" t="s">
        <v>9</v>
      </c>
      <c r="J14" s="51"/>
      <c r="K14" s="151"/>
      <c r="L14" s="46"/>
      <c r="M14" s="46"/>
    </row>
    <row r="15" spans="2:13" s="157" customFormat="1" ht="30" customHeight="1">
      <c r="B15" s="96">
        <v>10</v>
      </c>
      <c r="C15" s="122" t="s">
        <v>155</v>
      </c>
      <c r="D15" s="123">
        <v>43862</v>
      </c>
      <c r="E15" s="154" t="s">
        <v>8</v>
      </c>
      <c r="F15" s="180">
        <v>107</v>
      </c>
      <c r="G15" s="153" t="s">
        <v>9</v>
      </c>
      <c r="H15" s="153">
        <v>18</v>
      </c>
      <c r="I15" s="153" t="s">
        <v>9</v>
      </c>
      <c r="J15" s="153"/>
      <c r="K15" s="155"/>
      <c r="L15" s="156"/>
      <c r="M15" s="156"/>
    </row>
    <row r="16" spans="2:13" s="116" customFormat="1" ht="30" customHeight="1">
      <c r="B16" s="96">
        <v>11</v>
      </c>
      <c r="C16" s="121" t="s">
        <v>151</v>
      </c>
      <c r="D16" s="114">
        <v>43866</v>
      </c>
      <c r="E16" s="115" t="s">
        <v>8</v>
      </c>
      <c r="F16" s="180">
        <v>109</v>
      </c>
      <c r="G16" s="153" t="s">
        <v>9</v>
      </c>
      <c r="H16" s="51">
        <v>16</v>
      </c>
      <c r="I16" s="51" t="s">
        <v>9</v>
      </c>
      <c r="J16" s="51"/>
      <c r="K16" s="151"/>
      <c r="L16" s="46"/>
      <c r="M16" s="46"/>
    </row>
    <row r="17" spans="2:13" s="116" customFormat="1" ht="30" customHeight="1">
      <c r="B17" s="96">
        <v>12</v>
      </c>
      <c r="C17" s="121" t="s">
        <v>83</v>
      </c>
      <c r="D17" s="114">
        <v>43890</v>
      </c>
      <c r="E17" s="115" t="s">
        <v>8</v>
      </c>
      <c r="F17" s="180">
        <v>119</v>
      </c>
      <c r="G17" s="153" t="s">
        <v>9</v>
      </c>
      <c r="H17" s="51">
        <v>30</v>
      </c>
      <c r="I17" s="51" t="s">
        <v>10</v>
      </c>
      <c r="J17" s="51"/>
      <c r="K17" s="151"/>
      <c r="L17" s="152"/>
      <c r="M17" s="152"/>
    </row>
    <row r="18" spans="2:13" s="116" customFormat="1" ht="30" customHeight="1">
      <c r="B18" s="96">
        <v>13</v>
      </c>
      <c r="C18" s="121" t="s">
        <v>153</v>
      </c>
      <c r="D18" s="114">
        <v>43895</v>
      </c>
      <c r="E18" s="115" t="s">
        <v>8</v>
      </c>
      <c r="F18" s="180">
        <v>104</v>
      </c>
      <c r="G18" s="153" t="s">
        <v>9</v>
      </c>
      <c r="H18" s="51">
        <v>19</v>
      </c>
      <c r="I18" s="51" t="s">
        <v>9</v>
      </c>
      <c r="J18" s="51"/>
      <c r="K18" s="151"/>
      <c r="L18" s="152"/>
      <c r="M18" s="152"/>
    </row>
    <row r="19" spans="2:13" s="116" customFormat="1" ht="30" customHeight="1">
      <c r="B19" s="96">
        <v>14</v>
      </c>
      <c r="C19" s="121" t="s">
        <v>168</v>
      </c>
      <c r="D19" s="114">
        <v>43905</v>
      </c>
      <c r="E19" s="154" t="s">
        <v>11</v>
      </c>
      <c r="F19" s="179">
        <v>100</v>
      </c>
      <c r="G19" s="153" t="s">
        <v>9</v>
      </c>
      <c r="H19" s="153">
        <v>14</v>
      </c>
      <c r="I19" s="153" t="s">
        <v>9</v>
      </c>
      <c r="J19" s="51"/>
      <c r="K19" s="151"/>
      <c r="L19" s="46"/>
      <c r="M19" s="46"/>
    </row>
    <row r="20" spans="2:13" s="116" customFormat="1" ht="30" customHeight="1">
      <c r="B20" s="96">
        <v>15</v>
      </c>
      <c r="C20" s="121" t="s">
        <v>158</v>
      </c>
      <c r="D20" s="114">
        <v>43929</v>
      </c>
      <c r="E20" s="115" t="s">
        <v>11</v>
      </c>
      <c r="F20" s="179">
        <v>104</v>
      </c>
      <c r="G20" s="153" t="s">
        <v>9</v>
      </c>
      <c r="H20" s="51">
        <v>16</v>
      </c>
      <c r="I20" s="51" t="s">
        <v>9</v>
      </c>
      <c r="J20" s="51"/>
      <c r="K20" s="151"/>
      <c r="L20" s="152"/>
      <c r="M20" s="152"/>
    </row>
    <row r="21" spans="2:13" s="116" customFormat="1" ht="30" customHeight="1">
      <c r="B21" s="96">
        <v>16</v>
      </c>
      <c r="C21" s="121" t="s">
        <v>157</v>
      </c>
      <c r="D21" s="114">
        <v>43932</v>
      </c>
      <c r="E21" s="115" t="s">
        <v>11</v>
      </c>
      <c r="F21" s="179">
        <v>96</v>
      </c>
      <c r="G21" s="51" t="s">
        <v>12</v>
      </c>
      <c r="H21" s="51">
        <v>14</v>
      </c>
      <c r="I21" s="51" t="s">
        <v>9</v>
      </c>
      <c r="J21" s="51"/>
      <c r="K21" s="151"/>
      <c r="L21" s="46"/>
      <c r="M21" s="46"/>
    </row>
    <row r="22" spans="2:13" s="116" customFormat="1" ht="30" customHeight="1">
      <c r="B22" s="96">
        <v>17</v>
      </c>
      <c r="C22" s="121" t="s">
        <v>169</v>
      </c>
      <c r="D22" s="114">
        <v>43956</v>
      </c>
      <c r="E22" s="115" t="s">
        <v>8</v>
      </c>
      <c r="F22" s="179">
        <v>113</v>
      </c>
      <c r="G22" s="51" t="s">
        <v>9</v>
      </c>
      <c r="H22" s="51">
        <v>27</v>
      </c>
      <c r="I22" s="51" t="s">
        <v>25</v>
      </c>
      <c r="J22" s="51"/>
      <c r="K22" s="151"/>
      <c r="L22" s="152"/>
      <c r="M22" s="152"/>
    </row>
    <row r="23" spans="2:13" s="116" customFormat="1" ht="30" customHeight="1">
      <c r="B23" s="96">
        <v>18</v>
      </c>
      <c r="C23" s="121" t="s">
        <v>159</v>
      </c>
      <c r="D23" s="114">
        <v>43957</v>
      </c>
      <c r="E23" s="115" t="s">
        <v>11</v>
      </c>
      <c r="F23" s="179">
        <v>104</v>
      </c>
      <c r="G23" s="51" t="s">
        <v>9</v>
      </c>
      <c r="H23" s="51">
        <v>14</v>
      </c>
      <c r="I23" s="51" t="s">
        <v>9</v>
      </c>
      <c r="J23" s="51"/>
      <c r="K23" s="151"/>
      <c r="L23" s="46"/>
      <c r="M23" s="46"/>
    </row>
    <row r="24" spans="2:13" s="116" customFormat="1" ht="30" customHeight="1">
      <c r="B24" s="96">
        <v>19</v>
      </c>
      <c r="C24" s="121" t="s">
        <v>148</v>
      </c>
      <c r="D24" s="114">
        <v>44029</v>
      </c>
      <c r="E24" s="115" t="s">
        <v>8</v>
      </c>
      <c r="F24" s="179">
        <v>116</v>
      </c>
      <c r="G24" s="51" t="s">
        <v>9</v>
      </c>
      <c r="H24" s="51">
        <v>25</v>
      </c>
      <c r="I24" s="51" t="s">
        <v>9</v>
      </c>
      <c r="J24" s="51"/>
      <c r="K24" s="151"/>
      <c r="L24" s="46"/>
      <c r="M24" s="46"/>
    </row>
    <row r="25" spans="2:13" s="116" customFormat="1" ht="30" customHeight="1">
      <c r="B25" s="96">
        <v>20</v>
      </c>
      <c r="C25" s="121" t="s">
        <v>162</v>
      </c>
      <c r="D25" s="114">
        <v>44043</v>
      </c>
      <c r="E25" s="115" t="s">
        <v>11</v>
      </c>
      <c r="F25" s="179">
        <v>105</v>
      </c>
      <c r="G25" s="51" t="s">
        <v>9</v>
      </c>
      <c r="H25" s="51">
        <v>15</v>
      </c>
      <c r="I25" s="51" t="s">
        <v>9</v>
      </c>
      <c r="J25" s="51"/>
      <c r="K25" s="151"/>
      <c r="L25" s="152"/>
      <c r="M25" s="152"/>
    </row>
    <row r="26" spans="2:13" s="116" customFormat="1" ht="30" customHeight="1">
      <c r="B26" s="96">
        <v>21</v>
      </c>
      <c r="C26" s="121" t="s">
        <v>156</v>
      </c>
      <c r="D26" s="114">
        <v>44061</v>
      </c>
      <c r="E26" s="115" t="s">
        <v>8</v>
      </c>
      <c r="F26" s="179">
        <v>109</v>
      </c>
      <c r="G26" s="51" t="s">
        <v>9</v>
      </c>
      <c r="H26" s="51">
        <v>16</v>
      </c>
      <c r="I26" s="51" t="s">
        <v>9</v>
      </c>
      <c r="J26" s="51"/>
      <c r="K26" s="151"/>
      <c r="L26" s="152"/>
      <c r="M26" s="152"/>
    </row>
    <row r="27" spans="2:13" s="116" customFormat="1" ht="30" customHeight="1">
      <c r="B27" s="96">
        <v>22</v>
      </c>
      <c r="C27" s="121" t="s">
        <v>150</v>
      </c>
      <c r="D27" s="114">
        <v>44065</v>
      </c>
      <c r="E27" s="115" t="s">
        <v>11</v>
      </c>
      <c r="F27" s="179">
        <v>103</v>
      </c>
      <c r="G27" s="51" t="s">
        <v>9</v>
      </c>
      <c r="H27" s="51">
        <v>13</v>
      </c>
      <c r="I27" s="51" t="s">
        <v>9</v>
      </c>
      <c r="J27" s="51"/>
      <c r="K27" s="151"/>
      <c r="L27" s="46"/>
      <c r="M27" s="46"/>
    </row>
    <row r="28" spans="2:13" s="116" customFormat="1" ht="30" customHeight="1">
      <c r="B28" s="96">
        <v>23</v>
      </c>
      <c r="C28" s="121" t="s">
        <v>146</v>
      </c>
      <c r="D28" s="114">
        <v>44074</v>
      </c>
      <c r="E28" s="115" t="s">
        <v>8</v>
      </c>
      <c r="F28" s="179">
        <v>109</v>
      </c>
      <c r="G28" s="51" t="s">
        <v>9</v>
      </c>
      <c r="H28" s="51">
        <v>18</v>
      </c>
      <c r="I28" s="51" t="s">
        <v>9</v>
      </c>
      <c r="J28" s="51"/>
      <c r="K28" s="151"/>
      <c r="L28" s="46"/>
      <c r="M28" s="46"/>
    </row>
    <row r="29" spans="2:13" s="116" customFormat="1" ht="30" customHeight="1">
      <c r="B29" s="96">
        <v>24</v>
      </c>
      <c r="C29" s="121" t="s">
        <v>161</v>
      </c>
      <c r="D29" s="114">
        <v>44075</v>
      </c>
      <c r="E29" s="115" t="s">
        <v>11</v>
      </c>
      <c r="F29" s="179">
        <v>101</v>
      </c>
      <c r="G29" s="51" t="s">
        <v>9</v>
      </c>
      <c r="H29" s="51">
        <v>14</v>
      </c>
      <c r="I29" s="51" t="s">
        <v>9</v>
      </c>
      <c r="J29" s="51"/>
      <c r="K29" s="151"/>
      <c r="L29" s="46"/>
      <c r="M29" s="46"/>
    </row>
    <row r="30" spans="2:13" s="116" customFormat="1" ht="30" customHeight="1">
      <c r="B30" s="96">
        <v>25</v>
      </c>
      <c r="C30" s="158" t="s">
        <v>163</v>
      </c>
      <c r="D30" s="159">
        <v>44079</v>
      </c>
      <c r="E30" s="124" t="s">
        <v>11</v>
      </c>
      <c r="F30" s="179">
        <v>96</v>
      </c>
      <c r="G30" s="51" t="s">
        <v>9</v>
      </c>
      <c r="H30" s="51">
        <v>14</v>
      </c>
      <c r="I30" s="51" t="s">
        <v>9</v>
      </c>
      <c r="J30" s="51"/>
      <c r="K30" s="151"/>
      <c r="L30" s="46"/>
      <c r="M30" s="46"/>
    </row>
    <row r="31" spans="2:13" s="116" customFormat="1" ht="30" customHeight="1">
      <c r="B31" s="96">
        <v>26</v>
      </c>
      <c r="C31" s="121" t="s">
        <v>165</v>
      </c>
      <c r="D31" s="114">
        <v>44115</v>
      </c>
      <c r="E31" s="115" t="s">
        <v>11</v>
      </c>
      <c r="F31" s="179">
        <v>108</v>
      </c>
      <c r="G31" s="51" t="s">
        <v>9</v>
      </c>
      <c r="H31" s="51">
        <v>25</v>
      </c>
      <c r="I31" s="66" t="s">
        <v>10</v>
      </c>
      <c r="J31" s="51"/>
      <c r="K31" s="151"/>
      <c r="L31" s="46"/>
      <c r="M31" s="46"/>
    </row>
    <row r="32" spans="2:13" s="116" customFormat="1" ht="30" customHeight="1">
      <c r="B32" s="96">
        <v>27</v>
      </c>
      <c r="C32" s="122" t="s">
        <v>171</v>
      </c>
      <c r="D32" s="123">
        <v>44127</v>
      </c>
      <c r="E32" s="154" t="s">
        <v>8</v>
      </c>
      <c r="F32" s="179">
        <v>97</v>
      </c>
      <c r="G32" s="51" t="s">
        <v>9</v>
      </c>
      <c r="H32" s="51">
        <v>15</v>
      </c>
      <c r="I32" s="66" t="s">
        <v>9</v>
      </c>
      <c r="J32" s="51"/>
      <c r="K32" s="151"/>
      <c r="L32" s="46"/>
      <c r="M32" s="46"/>
    </row>
    <row r="33" spans="2:13" s="116" customFormat="1" ht="30" customHeight="1">
      <c r="B33" s="96">
        <v>28</v>
      </c>
      <c r="C33" s="121" t="s">
        <v>149</v>
      </c>
      <c r="D33" s="114">
        <v>44137</v>
      </c>
      <c r="E33" s="115" t="s">
        <v>8</v>
      </c>
      <c r="F33" s="179">
        <v>103</v>
      </c>
      <c r="G33" s="51" t="s">
        <v>9</v>
      </c>
      <c r="H33" s="51">
        <v>16</v>
      </c>
      <c r="I33" s="66" t="s">
        <v>9</v>
      </c>
      <c r="J33" s="51"/>
      <c r="K33" s="151"/>
      <c r="L33" s="46"/>
      <c r="M33" s="46"/>
    </row>
    <row r="34" spans="2:13" s="116" customFormat="1" ht="30.75" customHeight="1">
      <c r="B34" s="96">
        <v>29</v>
      </c>
      <c r="C34" s="121" t="s">
        <v>166</v>
      </c>
      <c r="D34" s="114">
        <v>44142</v>
      </c>
      <c r="E34" s="115" t="s">
        <v>11</v>
      </c>
      <c r="F34" s="179">
        <v>103</v>
      </c>
      <c r="G34" s="51" t="s">
        <v>9</v>
      </c>
      <c r="H34" s="51">
        <v>14</v>
      </c>
      <c r="I34" s="66" t="s">
        <v>9</v>
      </c>
      <c r="J34" s="51"/>
      <c r="K34" s="151"/>
      <c r="L34" s="152"/>
      <c r="M34" s="152"/>
    </row>
    <row r="35" spans="2:13" s="116" customFormat="1" ht="30" customHeight="1">
      <c r="B35" s="96">
        <v>30</v>
      </c>
      <c r="C35" s="121" t="s">
        <v>160</v>
      </c>
      <c r="D35" s="114">
        <v>44179</v>
      </c>
      <c r="E35" s="115" t="s">
        <v>11</v>
      </c>
      <c r="F35" s="179">
        <v>99</v>
      </c>
      <c r="G35" s="51" t="s">
        <v>9</v>
      </c>
      <c r="H35" s="51">
        <v>14</v>
      </c>
      <c r="I35" s="51" t="s">
        <v>9</v>
      </c>
      <c r="J35" s="51"/>
      <c r="K35" s="151"/>
      <c r="L35" s="152"/>
      <c r="M35" s="152"/>
    </row>
    <row r="36" spans="2:13" s="116" customFormat="1" ht="30" customHeight="1">
      <c r="B36" s="96">
        <v>31</v>
      </c>
      <c r="C36" s="121" t="s">
        <v>152</v>
      </c>
      <c r="D36" s="114">
        <v>44196</v>
      </c>
      <c r="E36" s="115" t="s">
        <v>8</v>
      </c>
      <c r="F36" s="179">
        <v>109</v>
      </c>
      <c r="G36" s="51" t="s">
        <v>9</v>
      </c>
      <c r="H36" s="51">
        <v>18</v>
      </c>
      <c r="I36" s="51" t="s">
        <v>9</v>
      </c>
      <c r="J36" s="51"/>
      <c r="K36" s="151"/>
      <c r="L36" s="46"/>
      <c r="M36" s="46"/>
    </row>
    <row r="37" spans="2:13" ht="15.75">
      <c r="B37" s="35" t="s">
        <v>280</v>
      </c>
      <c r="C37" s="35"/>
      <c r="D37" s="102"/>
      <c r="E37" s="35"/>
      <c r="F37" s="35"/>
      <c r="G37" s="174"/>
      <c r="H37" s="35"/>
      <c r="I37" s="35"/>
      <c r="J37" s="35"/>
      <c r="K37" s="52"/>
    </row>
    <row r="38" spans="2:13" ht="15.75">
      <c r="B38" s="74"/>
      <c r="C38" s="74"/>
      <c r="D38" s="103"/>
      <c r="E38" s="74"/>
      <c r="F38" s="74"/>
      <c r="G38" s="74"/>
      <c r="H38" s="74"/>
      <c r="I38" s="35"/>
      <c r="J38" s="35"/>
      <c r="K38" s="52"/>
    </row>
    <row r="39" spans="2:13" ht="15.75">
      <c r="B39" s="35" t="s">
        <v>14</v>
      </c>
      <c r="C39" s="35"/>
      <c r="D39" s="102"/>
      <c r="E39" s="35"/>
      <c r="F39" s="35"/>
      <c r="G39" s="35"/>
      <c r="H39" s="35"/>
      <c r="I39" s="35"/>
      <c r="J39" s="35"/>
      <c r="K39" s="52"/>
    </row>
    <row r="40" spans="2:13" ht="15.75">
      <c r="B40" s="53"/>
      <c r="C40" s="81" t="s">
        <v>15</v>
      </c>
      <c r="D40" s="104"/>
      <c r="E40" s="36" t="s">
        <v>8</v>
      </c>
      <c r="F40" s="36" t="s">
        <v>11</v>
      </c>
      <c r="G40" s="36" t="s">
        <v>16</v>
      </c>
      <c r="H40" s="36" t="s">
        <v>17</v>
      </c>
      <c r="I40" s="74"/>
      <c r="J40" s="74" t="s">
        <v>18</v>
      </c>
      <c r="K40" s="37"/>
    </row>
    <row r="41" spans="2:13" ht="31.5">
      <c r="B41" s="54"/>
      <c r="C41" s="82"/>
      <c r="D41" s="104" t="s">
        <v>9</v>
      </c>
      <c r="E41" s="34">
        <f>COUNTIFS(E6:E36,"Nam",G6:G36,"BT")</f>
        <v>16</v>
      </c>
      <c r="F41" s="34">
        <f>COUNTIFS(G6:G36,"BT",$E$6:$E$36,"Nữ")</f>
        <v>13</v>
      </c>
      <c r="G41" s="34">
        <f>SUM(E41:F41)</f>
        <v>29</v>
      </c>
      <c r="H41" s="34">
        <f>ROUND((G41/31*100),1)</f>
        <v>93.5</v>
      </c>
      <c r="I41" s="38"/>
      <c r="J41" s="39" t="s">
        <v>9</v>
      </c>
      <c r="K41" s="40" t="s">
        <v>19</v>
      </c>
    </row>
    <row r="42" spans="2:13" ht="47.25">
      <c r="B42" s="54"/>
      <c r="C42" s="82"/>
      <c r="D42" s="104" t="s">
        <v>20</v>
      </c>
      <c r="E42" s="34">
        <f>COUNTIFS(E7:E37,"Nam",G7:G37,"TC.N")</f>
        <v>0</v>
      </c>
      <c r="F42" s="34">
        <f>COUNTIFS($H$6:$H$36,"TC.N",$E$6:$E$36,"Nữ")</f>
        <v>0</v>
      </c>
      <c r="G42" s="34">
        <f t="shared" ref="G42:G51" si="0">SUM(E42:F42)</f>
        <v>0</v>
      </c>
      <c r="H42" s="34">
        <f>ROUND((G42/31*100),1)</f>
        <v>0</v>
      </c>
      <c r="I42" s="38"/>
      <c r="J42" s="39" t="s">
        <v>20</v>
      </c>
      <c r="K42" s="40" t="s">
        <v>21</v>
      </c>
    </row>
    <row r="43" spans="2:13" ht="15.75">
      <c r="B43" s="54"/>
      <c r="C43" s="83"/>
      <c r="D43" s="104" t="s">
        <v>12</v>
      </c>
      <c r="E43" s="34">
        <f>COUNTIFS(E6:E36,"Nam",G6:G36,"TC")</f>
        <v>1</v>
      </c>
      <c r="F43" s="34">
        <f>COUNTIFS(E6:E36,"Nữ",G6:G36,"TC")</f>
        <v>1</v>
      </c>
      <c r="G43" s="34">
        <f t="shared" si="0"/>
        <v>2</v>
      </c>
      <c r="H43" s="34">
        <f>ROUND((G43/31*100),1)</f>
        <v>6.5</v>
      </c>
      <c r="I43" s="38"/>
      <c r="J43" s="39" t="s">
        <v>12</v>
      </c>
      <c r="K43" s="40" t="s">
        <v>22</v>
      </c>
    </row>
    <row r="44" spans="2:13" ht="15.75">
      <c r="B44" s="54"/>
      <c r="C44" s="98" t="s">
        <v>16</v>
      </c>
      <c r="D44" s="104"/>
      <c r="E44" s="34">
        <f>SUM(E41:E43)</f>
        <v>17</v>
      </c>
      <c r="F44" s="34">
        <f>SUM(F41:F43)</f>
        <v>14</v>
      </c>
      <c r="G44" s="34">
        <f>SUM(G41:G43)</f>
        <v>31</v>
      </c>
      <c r="H44" s="34">
        <f>SUM(H41:H43)</f>
        <v>100</v>
      </c>
      <c r="I44" s="38"/>
      <c r="J44" s="55" t="s">
        <v>10</v>
      </c>
      <c r="K44" s="40" t="s">
        <v>23</v>
      </c>
    </row>
    <row r="45" spans="2:13" ht="15.75">
      <c r="B45" s="54"/>
      <c r="C45" s="183" t="s">
        <v>24</v>
      </c>
      <c r="D45" s="104" t="s">
        <v>9</v>
      </c>
      <c r="E45" s="34">
        <f>COUNTIFS($I$6:$I$36,"BT",$E$6:$E$36,"Nam")</f>
        <v>14</v>
      </c>
      <c r="F45" s="34">
        <f>COUNTIFS($I$6:$I$36,"BT",$E$6:$E$36,"Nữ")</f>
        <v>13</v>
      </c>
      <c r="G45" s="34">
        <f>SUM(E45:F45)</f>
        <v>27</v>
      </c>
      <c r="H45" s="34">
        <f t="shared" ref="H45:H51" si="1">ROUND((G45/31*100),1)</f>
        <v>87.1</v>
      </c>
      <c r="I45" s="38"/>
      <c r="J45" s="55" t="s">
        <v>25</v>
      </c>
      <c r="K45" s="40" t="s">
        <v>26</v>
      </c>
    </row>
    <row r="46" spans="2:13" ht="47.25">
      <c r="B46" s="54"/>
      <c r="C46" s="184"/>
      <c r="D46" s="104" t="s">
        <v>10</v>
      </c>
      <c r="E46" s="34">
        <f>COUNTIFS($I$6:$I$36,"BP",$E$6:$E$36,"Nam")</f>
        <v>1</v>
      </c>
      <c r="F46" s="34">
        <f>COUNTIFS($I$6:$I$34,"BP",$E$6:$E$34,"Nữ")</f>
        <v>1</v>
      </c>
      <c r="G46" s="34">
        <f t="shared" si="0"/>
        <v>2</v>
      </c>
      <c r="H46" s="34">
        <f t="shared" si="1"/>
        <v>6.5</v>
      </c>
      <c r="I46" s="38"/>
      <c r="J46" s="39" t="s">
        <v>27</v>
      </c>
      <c r="K46" s="40" t="s">
        <v>28</v>
      </c>
    </row>
    <row r="47" spans="2:13" ht="15.75">
      <c r="B47" s="54"/>
      <c r="C47" s="184"/>
      <c r="D47" s="104" t="s">
        <v>25</v>
      </c>
      <c r="E47" s="34">
        <f>COUNTIFS($I$6:$I$36,"Th.C",$E$6:$E$36,"Nam")</f>
        <v>1</v>
      </c>
      <c r="F47" s="34">
        <f>COUNTIFS($I$6:$I$29,"Th.C",$E$6:$E$29,"Nữ")</f>
        <v>0</v>
      </c>
      <c r="G47" s="34">
        <f t="shared" si="0"/>
        <v>1</v>
      </c>
      <c r="H47" s="34">
        <f t="shared" si="1"/>
        <v>3.2</v>
      </c>
      <c r="I47" s="38"/>
      <c r="J47" s="42" t="s">
        <v>13</v>
      </c>
      <c r="K47" s="39" t="s">
        <v>29</v>
      </c>
    </row>
    <row r="48" spans="2:13" ht="15.75">
      <c r="B48" s="54"/>
      <c r="C48" s="184"/>
      <c r="D48" s="104" t="s">
        <v>27</v>
      </c>
      <c r="E48" s="34">
        <f>COUNTIFS($I$6:$I$36,"NC.N",$E$6:$E$36,"Nam")</f>
        <v>0</v>
      </c>
      <c r="F48" s="34">
        <f>COUNTIFS($J$6:$J$34,"NC.N",$E$6:$E$34,"Nữ")</f>
        <v>0</v>
      </c>
      <c r="G48" s="34">
        <f t="shared" si="0"/>
        <v>0</v>
      </c>
      <c r="H48" s="34">
        <f t="shared" si="1"/>
        <v>0</v>
      </c>
      <c r="I48" s="38"/>
      <c r="J48" s="42" t="s">
        <v>30</v>
      </c>
      <c r="K48" s="42" t="s">
        <v>31</v>
      </c>
    </row>
    <row r="49" spans="2:11" ht="47.25">
      <c r="B49" s="54"/>
      <c r="C49" s="184"/>
      <c r="D49" s="104" t="s">
        <v>13</v>
      </c>
      <c r="E49" s="34">
        <f>COUNTIFS($I$6:$I$36,"NC",$E$6:$E$36,"Nam")</f>
        <v>1</v>
      </c>
      <c r="F49" s="34">
        <f>COUNTIFS($I$6:$I$36,"NC",$E$6:$E$36,"Nữ")</f>
        <v>0</v>
      </c>
      <c r="G49" s="34">
        <f>SUM(E49:F49)</f>
        <v>1</v>
      </c>
      <c r="H49" s="34">
        <f t="shared" si="1"/>
        <v>3.2</v>
      </c>
      <c r="I49" s="38"/>
      <c r="J49" s="56" t="s">
        <v>32</v>
      </c>
      <c r="K49" s="40" t="s">
        <v>33</v>
      </c>
    </row>
    <row r="50" spans="2:11" ht="15.75">
      <c r="B50" s="54"/>
      <c r="C50" s="184"/>
      <c r="D50" s="104" t="s">
        <v>30</v>
      </c>
      <c r="E50" s="34">
        <f>COUNTIFS($I$6:$I$36,"GC",$E$6:$E$36,"Nam")</f>
        <v>0</v>
      </c>
      <c r="F50" s="34">
        <f>COUNTIFS($I$6:$I$34,"GC",$E$6:$E$34,"Nữ")</f>
        <v>0</v>
      </c>
      <c r="G50" s="34">
        <f t="shared" si="0"/>
        <v>0</v>
      </c>
      <c r="H50" s="34">
        <f t="shared" si="1"/>
        <v>0</v>
      </c>
      <c r="I50" s="38"/>
      <c r="J50" s="45"/>
      <c r="K50" s="57"/>
    </row>
    <row r="51" spans="2:11" ht="15.75">
      <c r="B51" s="44"/>
      <c r="C51" s="185"/>
      <c r="D51" s="104" t="s">
        <v>32</v>
      </c>
      <c r="E51" s="34">
        <f>COUNTIFS($I$6:$I$36,"GC.N",$E$6:$E$36,"Nam")</f>
        <v>0</v>
      </c>
      <c r="F51" s="34">
        <f>COUNTIFS($I$6:$I$34,"GC.N",$E$6:$E$34,"Nữ")</f>
        <v>0</v>
      </c>
      <c r="G51" s="34">
        <f t="shared" si="0"/>
        <v>0</v>
      </c>
      <c r="H51" s="34">
        <f t="shared" si="1"/>
        <v>0</v>
      </c>
      <c r="I51" s="38"/>
      <c r="J51" s="45"/>
      <c r="K51" s="57"/>
    </row>
    <row r="52" spans="2:11" ht="15.75">
      <c r="B52" s="44"/>
      <c r="C52" s="98" t="s">
        <v>16</v>
      </c>
      <c r="D52" s="104"/>
      <c r="E52" s="58">
        <f>SUM(E45:E51)</f>
        <v>17</v>
      </c>
      <c r="F52" s="58">
        <f>SUM(F45:F51)</f>
        <v>14</v>
      </c>
      <c r="G52" s="58">
        <f>SUM(G45:G51)</f>
        <v>31</v>
      </c>
      <c r="H52" s="34">
        <f>SUM(H45:H51)</f>
        <v>100</v>
      </c>
      <c r="I52" s="59"/>
      <c r="J52" s="97"/>
      <c r="K52" s="57"/>
    </row>
    <row r="53" spans="2:11" ht="15.75">
      <c r="B53" s="44"/>
      <c r="C53" s="44"/>
      <c r="G53" s="69"/>
      <c r="H53" s="70"/>
      <c r="I53" s="71" t="s">
        <v>292</v>
      </c>
      <c r="J53" s="71"/>
      <c r="K53" s="72"/>
    </row>
    <row r="54" spans="2:11" ht="15.75">
      <c r="B54" s="44"/>
      <c r="C54" s="44"/>
      <c r="G54" s="43"/>
      <c r="H54" s="45"/>
      <c r="I54" s="97" t="s">
        <v>34</v>
      </c>
      <c r="J54" s="97"/>
      <c r="K54" s="44"/>
    </row>
    <row r="55" spans="2:11" ht="15.75">
      <c r="B55" s="44"/>
      <c r="C55" s="44"/>
      <c r="G55" s="182" t="s">
        <v>111</v>
      </c>
      <c r="H55" s="182"/>
      <c r="I55" s="182"/>
      <c r="J55" s="182"/>
      <c r="K55" s="182"/>
    </row>
    <row r="56" spans="2:11" ht="15.75">
      <c r="B56" s="44"/>
      <c r="C56" s="44"/>
      <c r="G56" s="182" t="s">
        <v>264</v>
      </c>
      <c r="H56" s="182"/>
      <c r="I56" s="182"/>
      <c r="J56" s="182"/>
      <c r="K56" s="182"/>
    </row>
  </sheetData>
  <sortState ref="C6:E35">
    <sortCondition ref="D6:D35"/>
  </sortState>
  <mergeCells count="14">
    <mergeCell ref="G55:K55"/>
    <mergeCell ref="G56:K56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ageMargins left="0.28000000000000003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55"/>
  <sheetViews>
    <sheetView topLeftCell="A34" workbookViewId="0">
      <selection activeCell="J32" sqref="J32"/>
    </sheetView>
  </sheetViews>
  <sheetFormatPr defaultRowHeight="15"/>
  <cols>
    <col min="1" max="1" width="7" customWidth="1"/>
    <col min="2" max="2" width="6" customWidth="1"/>
    <col min="3" max="3" width="23" customWidth="1"/>
    <col min="4" max="4" width="7.140625" customWidth="1"/>
    <col min="5" max="5" width="5.5703125" customWidth="1"/>
    <col min="6" max="6" width="7.5703125" customWidth="1"/>
    <col min="7" max="8" width="7.42578125" customWidth="1"/>
    <col min="9" max="9" width="7.85546875" customWidth="1"/>
    <col min="10" max="10" width="7.42578125" customWidth="1"/>
  </cols>
  <sheetData>
    <row r="1" spans="2:13" ht="20.25">
      <c r="B1" s="186" t="s">
        <v>37</v>
      </c>
      <c r="C1" s="186"/>
      <c r="D1" s="186"/>
      <c r="E1" s="186"/>
      <c r="F1" s="186"/>
      <c r="G1" s="186"/>
      <c r="H1" s="186"/>
      <c r="I1" s="186"/>
      <c r="J1" s="186"/>
      <c r="K1" s="186"/>
    </row>
    <row r="2" spans="2:13" ht="18.75">
      <c r="B2" s="187" t="s">
        <v>38</v>
      </c>
      <c r="C2" s="187"/>
      <c r="D2" s="187"/>
      <c r="E2" s="187"/>
      <c r="F2" s="187"/>
      <c r="G2" s="187"/>
      <c r="H2" s="187"/>
      <c r="I2" s="187"/>
      <c r="J2" s="187"/>
      <c r="K2" s="187"/>
    </row>
    <row r="3" spans="2:13" ht="20.25" customHeight="1">
      <c r="B3" s="188" t="s">
        <v>0</v>
      </c>
      <c r="C3" s="183" t="s">
        <v>1</v>
      </c>
      <c r="D3" s="201" t="s">
        <v>2</v>
      </c>
      <c r="E3" s="188" t="s">
        <v>3</v>
      </c>
      <c r="F3" s="196" t="s">
        <v>4</v>
      </c>
      <c r="G3" s="188" t="s">
        <v>5</v>
      </c>
      <c r="H3" s="196" t="s">
        <v>6</v>
      </c>
      <c r="I3" s="188" t="s">
        <v>5</v>
      </c>
      <c r="J3" s="199" t="s">
        <v>7</v>
      </c>
      <c r="K3" s="48"/>
      <c r="L3" s="46"/>
      <c r="M3" s="46"/>
    </row>
    <row r="4" spans="2:13" ht="15.75">
      <c r="B4" s="191"/>
      <c r="C4" s="191"/>
      <c r="D4" s="202"/>
      <c r="E4" s="191"/>
      <c r="F4" s="203"/>
      <c r="G4" s="191"/>
      <c r="H4" s="203"/>
      <c r="I4" s="191"/>
      <c r="J4" s="200"/>
      <c r="K4" s="49"/>
      <c r="L4" s="46"/>
      <c r="M4" s="46"/>
    </row>
    <row r="5" spans="2:13" ht="15.75">
      <c r="B5" s="192"/>
      <c r="C5" s="191"/>
      <c r="D5" s="202"/>
      <c r="E5" s="191"/>
      <c r="F5" s="203"/>
      <c r="G5" s="191"/>
      <c r="H5" s="203"/>
      <c r="I5" s="191"/>
      <c r="J5" s="183"/>
      <c r="K5" s="50"/>
      <c r="L5" s="46"/>
      <c r="M5" s="46"/>
    </row>
    <row r="6" spans="2:13" s="91" customFormat="1" ht="30" customHeight="1">
      <c r="B6" s="96">
        <v>1</v>
      </c>
      <c r="C6" s="121" t="s">
        <v>128</v>
      </c>
      <c r="D6" s="114">
        <v>43835</v>
      </c>
      <c r="E6" s="115" t="s">
        <v>8</v>
      </c>
      <c r="F6" s="51">
        <v>109</v>
      </c>
      <c r="G6" s="51" t="s">
        <v>9</v>
      </c>
      <c r="H6" s="51">
        <v>17</v>
      </c>
      <c r="I6" s="51" t="s">
        <v>9</v>
      </c>
      <c r="J6" s="65"/>
      <c r="K6" s="90"/>
      <c r="L6" s="152">
        <f>CONVERT(F6,"cm","m")</f>
        <v>1.0900000000000001</v>
      </c>
      <c r="M6" s="152">
        <f>ROUND(H6/(L6*L6),1)</f>
        <v>14.3</v>
      </c>
    </row>
    <row r="7" spans="2:13" s="91" customFormat="1" ht="30" customHeight="1">
      <c r="B7" s="96">
        <v>2</v>
      </c>
      <c r="C7" s="121" t="s">
        <v>142</v>
      </c>
      <c r="D7" s="114">
        <v>43845</v>
      </c>
      <c r="E7" s="115" t="s">
        <v>8</v>
      </c>
      <c r="F7" s="51">
        <v>106</v>
      </c>
      <c r="G7" s="51" t="s">
        <v>9</v>
      </c>
      <c r="H7" s="51">
        <v>18</v>
      </c>
      <c r="I7" s="51" t="s">
        <v>9</v>
      </c>
      <c r="J7" s="65"/>
      <c r="K7" s="90"/>
      <c r="L7" s="152">
        <f t="shared" ref="L7:L35" si="0">CONVERT(F7,"cm","m")</f>
        <v>1.06</v>
      </c>
      <c r="M7" s="152">
        <f t="shared" ref="M7:M35" si="1">ROUND(H7/(L7*L7),1)</f>
        <v>16</v>
      </c>
    </row>
    <row r="8" spans="2:13" s="91" customFormat="1" ht="30" customHeight="1">
      <c r="B8" s="96">
        <v>3</v>
      </c>
      <c r="C8" s="121" t="s">
        <v>139</v>
      </c>
      <c r="D8" s="114">
        <v>43873</v>
      </c>
      <c r="E8" s="115" t="s">
        <v>11</v>
      </c>
      <c r="F8" s="51">
        <v>112</v>
      </c>
      <c r="G8" s="51" t="s">
        <v>9</v>
      </c>
      <c r="H8" s="51">
        <v>19</v>
      </c>
      <c r="I8" s="51" t="s">
        <v>9</v>
      </c>
      <c r="J8" s="65"/>
      <c r="K8" s="90"/>
      <c r="L8" s="152">
        <f t="shared" si="0"/>
        <v>1.1200000000000001</v>
      </c>
      <c r="M8" s="152">
        <f t="shared" si="1"/>
        <v>15.1</v>
      </c>
    </row>
    <row r="9" spans="2:13" s="91" customFormat="1" ht="30" customHeight="1">
      <c r="B9" s="96">
        <v>4</v>
      </c>
      <c r="C9" s="121" t="s">
        <v>138</v>
      </c>
      <c r="D9" s="114">
        <v>43873</v>
      </c>
      <c r="E9" s="115" t="s">
        <v>11</v>
      </c>
      <c r="F9" s="51">
        <v>107</v>
      </c>
      <c r="G9" s="51" t="s">
        <v>9</v>
      </c>
      <c r="H9" s="51">
        <v>22</v>
      </c>
      <c r="I9" s="51" t="s">
        <v>9</v>
      </c>
      <c r="J9" s="65"/>
      <c r="K9" s="90"/>
      <c r="L9" s="152">
        <f t="shared" si="0"/>
        <v>1.07</v>
      </c>
      <c r="M9" s="152">
        <f t="shared" si="1"/>
        <v>19.2</v>
      </c>
    </row>
    <row r="10" spans="2:13" s="91" customFormat="1" ht="30" customHeight="1">
      <c r="B10" s="96">
        <v>5</v>
      </c>
      <c r="C10" s="121" t="s">
        <v>137</v>
      </c>
      <c r="D10" s="114">
        <v>43880</v>
      </c>
      <c r="E10" s="115" t="s">
        <v>11</v>
      </c>
      <c r="F10" s="51">
        <v>107</v>
      </c>
      <c r="G10" s="51" t="s">
        <v>9</v>
      </c>
      <c r="H10" s="51">
        <v>21</v>
      </c>
      <c r="I10" s="51" t="s">
        <v>9</v>
      </c>
      <c r="J10" s="65"/>
      <c r="K10" s="90"/>
      <c r="L10" s="152">
        <f t="shared" si="0"/>
        <v>1.07</v>
      </c>
      <c r="M10" s="152">
        <f t="shared" si="1"/>
        <v>18.3</v>
      </c>
    </row>
    <row r="11" spans="2:13" s="91" customFormat="1" ht="30" customHeight="1">
      <c r="B11" s="96">
        <v>6</v>
      </c>
      <c r="C11" s="121" t="s">
        <v>132</v>
      </c>
      <c r="D11" s="114">
        <v>43883</v>
      </c>
      <c r="E11" s="115" t="s">
        <v>11</v>
      </c>
      <c r="F11" s="51">
        <v>107</v>
      </c>
      <c r="G11" s="51" t="s">
        <v>9</v>
      </c>
      <c r="H11" s="51">
        <v>16</v>
      </c>
      <c r="I11" s="51" t="s">
        <v>9</v>
      </c>
      <c r="J11" s="149"/>
      <c r="K11" s="90"/>
      <c r="L11" s="152">
        <f t="shared" si="0"/>
        <v>1.07</v>
      </c>
      <c r="M11" s="152">
        <f t="shared" si="1"/>
        <v>14</v>
      </c>
    </row>
    <row r="12" spans="2:13" s="116" customFormat="1" ht="30" customHeight="1">
      <c r="B12" s="96">
        <v>7</v>
      </c>
      <c r="C12" s="121" t="s">
        <v>270</v>
      </c>
      <c r="D12" s="123">
        <v>43904</v>
      </c>
      <c r="E12" s="115" t="s">
        <v>8</v>
      </c>
      <c r="F12" s="51">
        <v>103</v>
      </c>
      <c r="G12" s="51" t="s">
        <v>9</v>
      </c>
      <c r="H12" s="51">
        <v>15</v>
      </c>
      <c r="I12" s="51" t="s">
        <v>9</v>
      </c>
      <c r="J12" s="181"/>
      <c r="K12" s="151"/>
      <c r="L12" s="152">
        <f t="shared" si="0"/>
        <v>1.03</v>
      </c>
      <c r="M12" s="152">
        <f t="shared" si="1"/>
        <v>14.1</v>
      </c>
    </row>
    <row r="13" spans="2:13" s="91" customFormat="1" ht="30" customHeight="1">
      <c r="B13" s="96">
        <v>8</v>
      </c>
      <c r="C13" s="121" t="s">
        <v>269</v>
      </c>
      <c r="D13" s="123">
        <v>43909</v>
      </c>
      <c r="E13" s="115" t="s">
        <v>11</v>
      </c>
      <c r="F13" s="51">
        <v>114</v>
      </c>
      <c r="G13" s="51" t="s">
        <v>9</v>
      </c>
      <c r="H13" s="51">
        <v>24</v>
      </c>
      <c r="I13" s="51" t="s">
        <v>9</v>
      </c>
      <c r="J13" s="149"/>
      <c r="K13" s="90"/>
      <c r="L13" s="152">
        <f t="shared" si="0"/>
        <v>1.1399999999999999</v>
      </c>
      <c r="M13" s="152">
        <f t="shared" si="1"/>
        <v>18.5</v>
      </c>
    </row>
    <row r="14" spans="2:13" s="91" customFormat="1" ht="30" customHeight="1">
      <c r="B14" s="96">
        <v>9</v>
      </c>
      <c r="C14" s="121" t="s">
        <v>173</v>
      </c>
      <c r="D14" s="114">
        <v>43897</v>
      </c>
      <c r="E14" s="115" t="s">
        <v>11</v>
      </c>
      <c r="F14" s="51">
        <v>107</v>
      </c>
      <c r="G14" s="51" t="s">
        <v>9</v>
      </c>
      <c r="H14" s="51">
        <v>16</v>
      </c>
      <c r="I14" s="51" t="s">
        <v>9</v>
      </c>
      <c r="J14" s="65"/>
      <c r="K14" s="90"/>
      <c r="L14" s="152">
        <f t="shared" si="0"/>
        <v>1.07</v>
      </c>
      <c r="M14" s="152">
        <f t="shared" si="1"/>
        <v>14</v>
      </c>
    </row>
    <row r="15" spans="2:13" s="91" customFormat="1" ht="30" customHeight="1">
      <c r="B15" s="96">
        <v>10</v>
      </c>
      <c r="C15" s="127" t="s">
        <v>141</v>
      </c>
      <c r="D15" s="114">
        <v>43920</v>
      </c>
      <c r="E15" s="115" t="s">
        <v>11</v>
      </c>
      <c r="F15" s="51">
        <v>108</v>
      </c>
      <c r="G15" s="51" t="s">
        <v>9</v>
      </c>
      <c r="H15" s="51">
        <v>16</v>
      </c>
      <c r="I15" s="51" t="s">
        <v>9</v>
      </c>
      <c r="J15" s="65"/>
      <c r="K15" s="90"/>
      <c r="L15" s="152">
        <f t="shared" si="0"/>
        <v>1.08</v>
      </c>
      <c r="M15" s="152">
        <f t="shared" si="1"/>
        <v>13.7</v>
      </c>
    </row>
    <row r="16" spans="2:13" s="91" customFormat="1" ht="30" customHeight="1">
      <c r="B16" s="96">
        <v>11</v>
      </c>
      <c r="C16" s="121" t="s">
        <v>145</v>
      </c>
      <c r="D16" s="114">
        <v>43927</v>
      </c>
      <c r="E16" s="115" t="s">
        <v>11</v>
      </c>
      <c r="F16" s="51">
        <v>107</v>
      </c>
      <c r="G16" s="51" t="s">
        <v>9</v>
      </c>
      <c r="H16" s="51">
        <v>16</v>
      </c>
      <c r="I16" s="51" t="s">
        <v>9</v>
      </c>
      <c r="J16" s="65"/>
      <c r="K16" s="90"/>
      <c r="L16" s="152">
        <f t="shared" si="0"/>
        <v>1.07</v>
      </c>
      <c r="M16" s="152">
        <f t="shared" si="1"/>
        <v>14</v>
      </c>
    </row>
    <row r="17" spans="2:13" s="91" customFormat="1" ht="30" customHeight="1">
      <c r="B17" s="96">
        <v>12</v>
      </c>
      <c r="C17" s="121" t="s">
        <v>140</v>
      </c>
      <c r="D17" s="114">
        <v>43941</v>
      </c>
      <c r="E17" s="115" t="s">
        <v>11</v>
      </c>
      <c r="F17" s="51">
        <v>106</v>
      </c>
      <c r="G17" s="51" t="s">
        <v>9</v>
      </c>
      <c r="H17" s="51">
        <v>16</v>
      </c>
      <c r="I17" s="51" t="s">
        <v>9</v>
      </c>
      <c r="J17" s="65"/>
      <c r="K17" s="90"/>
      <c r="L17" s="152">
        <f t="shared" si="0"/>
        <v>1.06</v>
      </c>
      <c r="M17" s="152">
        <f t="shared" si="1"/>
        <v>14.2</v>
      </c>
    </row>
    <row r="18" spans="2:13" s="91" customFormat="1" ht="30" customHeight="1">
      <c r="B18" s="96">
        <v>13</v>
      </c>
      <c r="C18" s="121" t="s">
        <v>120</v>
      </c>
      <c r="D18" s="114">
        <v>43944</v>
      </c>
      <c r="E18" s="115" t="s">
        <v>8</v>
      </c>
      <c r="F18" s="51">
        <v>110</v>
      </c>
      <c r="G18" s="51" t="s">
        <v>9</v>
      </c>
      <c r="H18" s="51">
        <v>18</v>
      </c>
      <c r="I18" s="51" t="s">
        <v>9</v>
      </c>
      <c r="J18" s="65"/>
      <c r="K18" s="90"/>
      <c r="L18" s="152">
        <f t="shared" si="0"/>
        <v>1.1000000000000001</v>
      </c>
      <c r="M18" s="152">
        <f t="shared" si="1"/>
        <v>14.9</v>
      </c>
    </row>
    <row r="19" spans="2:13" s="116" customFormat="1" ht="30" customHeight="1">
      <c r="B19" s="96">
        <v>14</v>
      </c>
      <c r="C19" s="121" t="s">
        <v>131</v>
      </c>
      <c r="D19" s="114">
        <v>43950</v>
      </c>
      <c r="E19" s="115" t="s">
        <v>11</v>
      </c>
      <c r="F19" s="51">
        <v>107</v>
      </c>
      <c r="G19" s="51" t="s">
        <v>9</v>
      </c>
      <c r="H19" s="51">
        <v>18</v>
      </c>
      <c r="I19" s="51" t="s">
        <v>9</v>
      </c>
      <c r="J19" s="51"/>
      <c r="K19" s="151"/>
      <c r="L19" s="152">
        <f t="shared" si="0"/>
        <v>1.07</v>
      </c>
      <c r="M19" s="152">
        <f t="shared" si="1"/>
        <v>15.7</v>
      </c>
    </row>
    <row r="20" spans="2:13" s="91" customFormat="1" ht="30" customHeight="1">
      <c r="B20" s="96">
        <v>15</v>
      </c>
      <c r="C20" s="121" t="s">
        <v>121</v>
      </c>
      <c r="D20" s="114">
        <v>43955</v>
      </c>
      <c r="E20" s="115" t="s">
        <v>8</v>
      </c>
      <c r="F20" s="51">
        <v>111</v>
      </c>
      <c r="G20" s="51" t="s">
        <v>9</v>
      </c>
      <c r="H20" s="51">
        <v>21</v>
      </c>
      <c r="I20" s="51" t="s">
        <v>9</v>
      </c>
      <c r="J20" s="65"/>
      <c r="K20" s="90"/>
      <c r="L20" s="152">
        <f t="shared" si="0"/>
        <v>1.1100000000000001</v>
      </c>
      <c r="M20" s="152">
        <f t="shared" si="1"/>
        <v>17</v>
      </c>
    </row>
    <row r="21" spans="2:13" s="91" customFormat="1" ht="30" customHeight="1">
      <c r="B21" s="96">
        <v>16</v>
      </c>
      <c r="C21" s="121" t="s">
        <v>144</v>
      </c>
      <c r="D21" s="114">
        <v>43959</v>
      </c>
      <c r="E21" s="115" t="s">
        <v>11</v>
      </c>
      <c r="F21" s="51">
        <v>104</v>
      </c>
      <c r="G21" s="51" t="s">
        <v>9</v>
      </c>
      <c r="H21" s="51">
        <v>16</v>
      </c>
      <c r="I21" s="51" t="s">
        <v>9</v>
      </c>
      <c r="J21" s="65"/>
      <c r="K21" s="90"/>
      <c r="L21" s="152">
        <f t="shared" si="0"/>
        <v>1.04</v>
      </c>
      <c r="M21" s="152">
        <f t="shared" si="1"/>
        <v>14.8</v>
      </c>
    </row>
    <row r="22" spans="2:13" s="91" customFormat="1" ht="30" customHeight="1">
      <c r="B22" s="96">
        <v>17</v>
      </c>
      <c r="C22" s="121" t="s">
        <v>125</v>
      </c>
      <c r="D22" s="114">
        <v>43989</v>
      </c>
      <c r="E22" s="115" t="s">
        <v>8</v>
      </c>
      <c r="F22" s="51">
        <v>112</v>
      </c>
      <c r="G22" s="51" t="s">
        <v>9</v>
      </c>
      <c r="H22" s="51">
        <v>20</v>
      </c>
      <c r="I22" s="51" t="s">
        <v>9</v>
      </c>
      <c r="J22" s="65"/>
      <c r="K22" s="90"/>
      <c r="L22" s="152">
        <f t="shared" si="0"/>
        <v>1.1200000000000001</v>
      </c>
      <c r="M22" s="152">
        <f t="shared" si="1"/>
        <v>15.9</v>
      </c>
    </row>
    <row r="23" spans="2:13" s="91" customFormat="1" ht="30" customHeight="1">
      <c r="B23" s="96">
        <v>18</v>
      </c>
      <c r="C23" s="121" t="s">
        <v>130</v>
      </c>
      <c r="D23" s="114">
        <v>43998</v>
      </c>
      <c r="E23" s="115" t="s">
        <v>11</v>
      </c>
      <c r="F23" s="51">
        <v>113</v>
      </c>
      <c r="G23" s="51" t="s">
        <v>9</v>
      </c>
      <c r="H23" s="51">
        <v>18</v>
      </c>
      <c r="I23" s="51" t="s">
        <v>9</v>
      </c>
      <c r="J23" s="65"/>
      <c r="K23" s="90"/>
      <c r="L23" s="152">
        <f t="shared" si="0"/>
        <v>1.1299999999999999</v>
      </c>
      <c r="M23" s="152">
        <f t="shared" si="1"/>
        <v>14.1</v>
      </c>
    </row>
    <row r="24" spans="2:13" s="91" customFormat="1" ht="30" customHeight="1">
      <c r="B24" s="96">
        <v>19</v>
      </c>
      <c r="C24" s="121" t="s">
        <v>136</v>
      </c>
      <c r="D24" s="114">
        <v>44001</v>
      </c>
      <c r="E24" s="115" t="s">
        <v>11</v>
      </c>
      <c r="F24" s="51">
        <v>110</v>
      </c>
      <c r="G24" s="51" t="s">
        <v>9</v>
      </c>
      <c r="H24" s="51">
        <v>16</v>
      </c>
      <c r="I24" s="51" t="s">
        <v>9</v>
      </c>
      <c r="J24" s="65"/>
      <c r="K24" s="90"/>
      <c r="L24" s="152">
        <f t="shared" si="0"/>
        <v>1.1000000000000001</v>
      </c>
      <c r="M24" s="152">
        <f t="shared" si="1"/>
        <v>13.2</v>
      </c>
    </row>
    <row r="25" spans="2:13" s="91" customFormat="1" ht="30" customHeight="1">
      <c r="B25" s="96">
        <v>20</v>
      </c>
      <c r="C25" s="121" t="s">
        <v>129</v>
      </c>
      <c r="D25" s="114">
        <v>44009</v>
      </c>
      <c r="E25" s="115" t="s">
        <v>8</v>
      </c>
      <c r="F25" s="51">
        <v>109</v>
      </c>
      <c r="G25" s="51" t="s">
        <v>9</v>
      </c>
      <c r="H25" s="51">
        <v>23</v>
      </c>
      <c r="I25" s="51" t="s">
        <v>25</v>
      </c>
      <c r="J25" s="65"/>
      <c r="K25" s="90"/>
      <c r="L25" s="152">
        <f t="shared" si="0"/>
        <v>1.0900000000000001</v>
      </c>
      <c r="M25" s="152">
        <f t="shared" si="1"/>
        <v>19.399999999999999</v>
      </c>
    </row>
    <row r="26" spans="2:13" s="91" customFormat="1" ht="30" customHeight="1">
      <c r="B26" s="96">
        <v>21</v>
      </c>
      <c r="C26" s="121" t="s">
        <v>122</v>
      </c>
      <c r="D26" s="114">
        <v>44020</v>
      </c>
      <c r="E26" s="115" t="s">
        <v>8</v>
      </c>
      <c r="F26" s="51">
        <v>109</v>
      </c>
      <c r="G26" s="51" t="s">
        <v>9</v>
      </c>
      <c r="H26" s="51">
        <v>16</v>
      </c>
      <c r="I26" s="51" t="s">
        <v>9</v>
      </c>
      <c r="J26" s="51"/>
      <c r="K26" s="90"/>
      <c r="L26" s="92">
        <f t="shared" si="0"/>
        <v>1.0900000000000001</v>
      </c>
      <c r="M26" s="92">
        <f t="shared" si="1"/>
        <v>13.5</v>
      </c>
    </row>
    <row r="27" spans="2:13" s="91" customFormat="1" ht="30" customHeight="1">
      <c r="B27" s="96">
        <v>22</v>
      </c>
      <c r="C27" s="121" t="s">
        <v>143</v>
      </c>
      <c r="D27" s="114">
        <v>44052</v>
      </c>
      <c r="E27" s="115" t="s">
        <v>8</v>
      </c>
      <c r="F27" s="51">
        <v>103</v>
      </c>
      <c r="G27" s="51" t="s">
        <v>9</v>
      </c>
      <c r="H27" s="51">
        <v>19</v>
      </c>
      <c r="I27" s="51" t="s">
        <v>9</v>
      </c>
      <c r="J27" s="51"/>
      <c r="K27" s="90"/>
      <c r="L27" s="92">
        <f>CONVERT(F27,"cm","m")</f>
        <v>1.03</v>
      </c>
      <c r="M27" s="92">
        <f>ROUND(H27/(L27*L27),1)</f>
        <v>17.899999999999999</v>
      </c>
    </row>
    <row r="28" spans="2:13" s="91" customFormat="1" ht="30" customHeight="1">
      <c r="B28" s="96">
        <v>23</v>
      </c>
      <c r="C28" s="121" t="s">
        <v>124</v>
      </c>
      <c r="D28" s="114">
        <v>44052</v>
      </c>
      <c r="E28" s="115" t="s">
        <v>8</v>
      </c>
      <c r="F28" s="51">
        <v>105</v>
      </c>
      <c r="G28" s="51" t="s">
        <v>9</v>
      </c>
      <c r="H28" s="51">
        <v>16</v>
      </c>
      <c r="I28" s="51" t="s">
        <v>9</v>
      </c>
      <c r="J28" s="65"/>
      <c r="K28" s="90"/>
      <c r="L28" s="152">
        <f t="shared" si="0"/>
        <v>1.05</v>
      </c>
      <c r="M28" s="152">
        <f t="shared" si="1"/>
        <v>14.5</v>
      </c>
    </row>
    <row r="29" spans="2:13" s="91" customFormat="1" ht="30" customHeight="1">
      <c r="B29" s="96">
        <v>24</v>
      </c>
      <c r="C29" s="121" t="s">
        <v>123</v>
      </c>
      <c r="D29" s="114">
        <v>44067</v>
      </c>
      <c r="E29" s="115" t="s">
        <v>8</v>
      </c>
      <c r="F29" s="51">
        <v>113</v>
      </c>
      <c r="G29" s="51" t="s">
        <v>9</v>
      </c>
      <c r="H29" s="51">
        <v>22</v>
      </c>
      <c r="I29" s="51" t="s">
        <v>9</v>
      </c>
      <c r="J29" s="65"/>
      <c r="K29" s="90"/>
      <c r="L29" s="152">
        <f t="shared" si="0"/>
        <v>1.1299999999999999</v>
      </c>
      <c r="M29" s="152">
        <f t="shared" si="1"/>
        <v>17.2</v>
      </c>
    </row>
    <row r="30" spans="2:13" s="91" customFormat="1" ht="30" customHeight="1">
      <c r="B30" s="96">
        <v>25</v>
      </c>
      <c r="C30" s="121" t="s">
        <v>133</v>
      </c>
      <c r="D30" s="114">
        <v>44085</v>
      </c>
      <c r="E30" s="115" t="s">
        <v>11</v>
      </c>
      <c r="F30" s="66">
        <v>112</v>
      </c>
      <c r="G30" s="51" t="s">
        <v>9</v>
      </c>
      <c r="H30" s="66">
        <v>21</v>
      </c>
      <c r="I30" s="51" t="s">
        <v>9</v>
      </c>
      <c r="J30" s="150"/>
      <c r="K30" s="90"/>
      <c r="L30" s="152">
        <f t="shared" si="0"/>
        <v>1.1200000000000001</v>
      </c>
      <c r="M30" s="152">
        <f t="shared" si="1"/>
        <v>16.7</v>
      </c>
    </row>
    <row r="31" spans="2:13" s="91" customFormat="1" ht="30" customHeight="1">
      <c r="B31" s="96">
        <v>26</v>
      </c>
      <c r="C31" s="121" t="s">
        <v>135</v>
      </c>
      <c r="D31" s="114">
        <v>44113</v>
      </c>
      <c r="E31" s="115" t="s">
        <v>11</v>
      </c>
      <c r="F31" s="66">
        <v>109</v>
      </c>
      <c r="G31" s="51" t="s">
        <v>9</v>
      </c>
      <c r="H31" s="66">
        <v>17</v>
      </c>
      <c r="I31" s="51" t="s">
        <v>9</v>
      </c>
      <c r="J31" s="150"/>
      <c r="K31" s="90"/>
      <c r="L31" s="152">
        <f t="shared" si="0"/>
        <v>1.0900000000000001</v>
      </c>
      <c r="M31" s="152">
        <f t="shared" si="1"/>
        <v>14.3</v>
      </c>
    </row>
    <row r="32" spans="2:13" s="91" customFormat="1" ht="30" customHeight="1">
      <c r="B32" s="96">
        <v>27</v>
      </c>
      <c r="C32" s="121" t="s">
        <v>172</v>
      </c>
      <c r="D32" s="114">
        <v>44128</v>
      </c>
      <c r="E32" s="115" t="s">
        <v>8</v>
      </c>
      <c r="F32" s="66">
        <v>101</v>
      </c>
      <c r="G32" s="51" t="s">
        <v>9</v>
      </c>
      <c r="H32" s="66">
        <v>15</v>
      </c>
      <c r="I32" s="51" t="s">
        <v>9</v>
      </c>
      <c r="J32" s="150"/>
      <c r="K32" s="90"/>
      <c r="L32" s="152">
        <f t="shared" si="0"/>
        <v>1.01</v>
      </c>
      <c r="M32" s="152">
        <f t="shared" si="1"/>
        <v>14.7</v>
      </c>
    </row>
    <row r="33" spans="2:13" s="91" customFormat="1" ht="30" customHeight="1">
      <c r="B33" s="96">
        <v>28</v>
      </c>
      <c r="C33" s="121" t="s">
        <v>134</v>
      </c>
      <c r="D33" s="114">
        <v>44136</v>
      </c>
      <c r="E33" s="124" t="s">
        <v>11</v>
      </c>
      <c r="F33" s="113">
        <v>112</v>
      </c>
      <c r="G33" s="51" t="s">
        <v>9</v>
      </c>
      <c r="H33" s="113">
        <v>24</v>
      </c>
      <c r="I33" s="51" t="s">
        <v>25</v>
      </c>
      <c r="J33" s="150"/>
      <c r="K33" s="90"/>
      <c r="L33" s="152">
        <f t="shared" si="0"/>
        <v>1.1200000000000001</v>
      </c>
      <c r="M33" s="152">
        <f t="shared" si="1"/>
        <v>19.100000000000001</v>
      </c>
    </row>
    <row r="34" spans="2:13" s="91" customFormat="1" ht="30" customHeight="1">
      <c r="B34" s="96">
        <v>29</v>
      </c>
      <c r="C34" s="121" t="s">
        <v>127</v>
      </c>
      <c r="D34" s="114">
        <v>44195</v>
      </c>
      <c r="E34" s="115" t="s">
        <v>8</v>
      </c>
      <c r="F34" s="51">
        <v>103</v>
      </c>
      <c r="G34" s="51" t="s">
        <v>9</v>
      </c>
      <c r="H34" s="51">
        <v>17</v>
      </c>
      <c r="I34" s="51" t="s">
        <v>9</v>
      </c>
      <c r="J34" s="65"/>
      <c r="K34" s="90"/>
      <c r="L34" s="152">
        <f t="shared" si="0"/>
        <v>1.03</v>
      </c>
      <c r="M34" s="152">
        <f t="shared" si="1"/>
        <v>16</v>
      </c>
    </row>
    <row r="35" spans="2:13" s="91" customFormat="1" ht="30" customHeight="1">
      <c r="B35" s="96">
        <v>30</v>
      </c>
      <c r="C35" s="121" t="s">
        <v>287</v>
      </c>
      <c r="D35" s="114">
        <v>44190</v>
      </c>
      <c r="E35" s="115" t="s">
        <v>8</v>
      </c>
      <c r="F35" s="51">
        <v>105</v>
      </c>
      <c r="G35" s="51" t="s">
        <v>9</v>
      </c>
      <c r="H35" s="51">
        <v>20</v>
      </c>
      <c r="I35" s="51" t="s">
        <v>9</v>
      </c>
      <c r="J35" s="65"/>
      <c r="K35" s="90"/>
      <c r="L35" s="152">
        <f t="shared" si="0"/>
        <v>1.05</v>
      </c>
      <c r="M35" s="152">
        <f t="shared" si="1"/>
        <v>18.100000000000001</v>
      </c>
    </row>
    <row r="36" spans="2:13" ht="15.75">
      <c r="B36" s="35" t="s">
        <v>281</v>
      </c>
      <c r="C36" s="35"/>
      <c r="D36" s="35"/>
      <c r="E36" s="35"/>
      <c r="F36" s="35"/>
      <c r="G36" s="35"/>
      <c r="H36" s="35"/>
      <c r="I36" s="35"/>
      <c r="J36" s="35"/>
      <c r="K36" s="52"/>
    </row>
    <row r="37" spans="2:13" ht="15.75">
      <c r="B37" s="74"/>
      <c r="C37" s="74"/>
      <c r="D37" s="74"/>
      <c r="E37" s="74"/>
      <c r="F37" s="74"/>
      <c r="G37" s="74"/>
      <c r="H37" s="74"/>
      <c r="I37" s="35"/>
      <c r="J37" s="35"/>
      <c r="K37" s="52"/>
    </row>
    <row r="38" spans="2:13" ht="15.75">
      <c r="B38" s="35" t="s">
        <v>14</v>
      </c>
      <c r="C38" s="35"/>
      <c r="D38" s="35"/>
      <c r="E38" s="35"/>
      <c r="F38" s="35"/>
      <c r="G38" s="35"/>
      <c r="H38" s="35"/>
      <c r="I38" s="35"/>
      <c r="J38" s="35"/>
      <c r="K38" s="52"/>
    </row>
    <row r="39" spans="2:13" ht="15.75">
      <c r="B39" s="53"/>
      <c r="C39" s="81" t="s">
        <v>15</v>
      </c>
      <c r="D39" s="34"/>
      <c r="E39" s="36" t="s">
        <v>8</v>
      </c>
      <c r="F39" s="36" t="s">
        <v>11</v>
      </c>
      <c r="G39" s="36" t="s">
        <v>16</v>
      </c>
      <c r="H39" s="36" t="s">
        <v>17</v>
      </c>
      <c r="I39" s="74"/>
      <c r="J39" s="74" t="s">
        <v>18</v>
      </c>
      <c r="K39" s="37"/>
    </row>
    <row r="40" spans="2:13" ht="31.5">
      <c r="B40" s="54"/>
      <c r="C40" s="82"/>
      <c r="D40" s="34" t="s">
        <v>9</v>
      </c>
      <c r="E40" s="34">
        <f>COUNTIFS(E6:E35,"Nam",G6:G35,"BT")</f>
        <v>14</v>
      </c>
      <c r="F40" s="34">
        <f>COUNTIFS($G$6:$G$35,"BT",$E$6:$E$35,"Nữ")</f>
        <v>16</v>
      </c>
      <c r="G40" s="34">
        <f>SUM(E40:F40)</f>
        <v>30</v>
      </c>
      <c r="H40" s="34">
        <f>ROUND((G40/30*100),1)</f>
        <v>100</v>
      </c>
      <c r="I40" s="38"/>
      <c r="J40" s="39" t="s">
        <v>9</v>
      </c>
      <c r="K40" s="40" t="s">
        <v>19</v>
      </c>
    </row>
    <row r="41" spans="2:13" ht="47.25">
      <c r="B41" s="54"/>
      <c r="C41" s="82"/>
      <c r="D41" s="34" t="s">
        <v>20</v>
      </c>
      <c r="E41" s="34">
        <f>COUNTIFS($G$6:$G$34,"TC.N",$E$6:$E$34,"Nam")</f>
        <v>0</v>
      </c>
      <c r="F41" s="34">
        <f>COUNTIFS($G$6:$G$34,"TC.N",$E$6:$E$34,"Nữ")</f>
        <v>0</v>
      </c>
      <c r="G41" s="34">
        <f t="shared" ref="G41:G50" si="2">SUM(E41:F41)</f>
        <v>0</v>
      </c>
      <c r="H41" s="34">
        <f>ROUND((G41/30*100),1)</f>
        <v>0</v>
      </c>
      <c r="I41" s="38"/>
      <c r="J41" s="39" t="s">
        <v>20</v>
      </c>
      <c r="K41" s="40" t="s">
        <v>21</v>
      </c>
    </row>
    <row r="42" spans="2:13" ht="15.75">
      <c r="B42" s="54"/>
      <c r="C42" s="83"/>
      <c r="D42" s="34" t="s">
        <v>12</v>
      </c>
      <c r="E42" s="34">
        <f>COUNTIFS($G$6:$G$34,"TC",$E$6:$E$34,"Nam")</f>
        <v>0</v>
      </c>
      <c r="F42" s="34">
        <f>COUNTIFS($G$6:$G$34,"TC",$E$6:$E$34,"Nữ")</f>
        <v>0</v>
      </c>
      <c r="G42" s="34">
        <f t="shared" si="2"/>
        <v>0</v>
      </c>
      <c r="H42" s="34">
        <f>ROUND((G42/30*100),1)</f>
        <v>0</v>
      </c>
      <c r="I42" s="38"/>
      <c r="J42" s="39" t="s">
        <v>12</v>
      </c>
      <c r="K42" s="40" t="s">
        <v>22</v>
      </c>
    </row>
    <row r="43" spans="2:13" ht="15.75">
      <c r="B43" s="54"/>
      <c r="C43" s="75" t="s">
        <v>16</v>
      </c>
      <c r="D43" s="34"/>
      <c r="E43" s="34">
        <f>SUM(E40:E42)</f>
        <v>14</v>
      </c>
      <c r="F43" s="34">
        <f>SUM(F40:F42)</f>
        <v>16</v>
      </c>
      <c r="G43" s="34">
        <f>SUM(G40:G42)</f>
        <v>30</v>
      </c>
      <c r="H43" s="34">
        <f>SUM(H40:H42)</f>
        <v>100</v>
      </c>
      <c r="I43" s="38"/>
      <c r="J43" s="55" t="s">
        <v>10</v>
      </c>
      <c r="K43" s="40" t="s">
        <v>23</v>
      </c>
    </row>
    <row r="44" spans="2:13" ht="15.75">
      <c r="B44" s="54"/>
      <c r="C44" s="183" t="s">
        <v>24</v>
      </c>
      <c r="D44" s="34" t="s">
        <v>9</v>
      </c>
      <c r="E44" s="34">
        <f>COUNTIFS($I$6:$I$35,"BT",$E$6:$E$35,"Nam")</f>
        <v>13</v>
      </c>
      <c r="F44" s="34">
        <f>COUNTIFS($I$6:$I$35,"BT",$E$6:$E$35,"Nữ")</f>
        <v>15</v>
      </c>
      <c r="G44" s="34">
        <f>SUM(E44:F44)</f>
        <v>28</v>
      </c>
      <c r="H44" s="34">
        <f>ROUND((G44/30*100),1)</f>
        <v>93.3</v>
      </c>
      <c r="I44" s="38"/>
      <c r="J44" s="55" t="s">
        <v>25</v>
      </c>
      <c r="K44" s="40" t="s">
        <v>26</v>
      </c>
    </row>
    <row r="45" spans="2:13" ht="47.25">
      <c r="B45" s="54"/>
      <c r="C45" s="191"/>
      <c r="D45" s="34" t="s">
        <v>10</v>
      </c>
      <c r="E45" s="34">
        <f>COUNTIFS($I$6:$I$35,"BP",$E$6:$E$35,"Nam")</f>
        <v>0</v>
      </c>
      <c r="F45" s="34">
        <f>COUNTIFS($I$6:$I$34,"BP",$E$6:$E$34,"Nữ")</f>
        <v>0</v>
      </c>
      <c r="G45" s="34">
        <f t="shared" si="2"/>
        <v>0</v>
      </c>
      <c r="H45" s="34">
        <f t="shared" ref="H45:H50" si="3">ROUND((G45/30*100),1)</f>
        <v>0</v>
      </c>
      <c r="I45" s="38"/>
      <c r="J45" s="39" t="s">
        <v>27</v>
      </c>
      <c r="K45" s="40" t="s">
        <v>28</v>
      </c>
    </row>
    <row r="46" spans="2:13" ht="15.75">
      <c r="B46" s="54"/>
      <c r="C46" s="191"/>
      <c r="D46" s="34" t="s">
        <v>25</v>
      </c>
      <c r="E46" s="34">
        <f>COUNTIFS($I$6:$I$35,"Th.C",$E$6:$E$35,"Nam")</f>
        <v>1</v>
      </c>
      <c r="F46" s="34">
        <f>COUNTIFS($I$6:$I$35,"Th.C",$E$6:$E$35,"Nữ")</f>
        <v>1</v>
      </c>
      <c r="G46" s="34">
        <f t="shared" si="2"/>
        <v>2</v>
      </c>
      <c r="H46" s="34">
        <f t="shared" si="3"/>
        <v>6.7</v>
      </c>
      <c r="I46" s="38"/>
      <c r="J46" s="42" t="s">
        <v>13</v>
      </c>
      <c r="K46" s="39" t="s">
        <v>29</v>
      </c>
    </row>
    <row r="47" spans="2:13" ht="15.75">
      <c r="B47" s="54"/>
      <c r="C47" s="191"/>
      <c r="D47" s="34" t="s">
        <v>27</v>
      </c>
      <c r="E47" s="34">
        <f>COUNTIFS($I$6:$I$34,"NC.N",$E$6:$E$34,"Nam")</f>
        <v>0</v>
      </c>
      <c r="F47" s="34">
        <f>COUNTIFS($I$6:$I$34,"NC.N",$E$6:$E$34,"Nữ")</f>
        <v>0</v>
      </c>
      <c r="G47" s="34">
        <f t="shared" si="2"/>
        <v>0</v>
      </c>
      <c r="H47" s="34">
        <f t="shared" si="3"/>
        <v>0</v>
      </c>
      <c r="I47" s="38"/>
      <c r="J47" s="42" t="s">
        <v>30</v>
      </c>
      <c r="K47" s="42" t="s">
        <v>31</v>
      </c>
    </row>
    <row r="48" spans="2:13" ht="47.25">
      <c r="B48" s="54"/>
      <c r="C48" s="191"/>
      <c r="D48" s="34" t="s">
        <v>13</v>
      </c>
      <c r="E48" s="34">
        <f>COUNTIFS($I$6:$I$34,"NC",$E$6:$E$34,"Nam")</f>
        <v>0</v>
      </c>
      <c r="F48" s="34">
        <f>COUNTIFS($I$6:$I$34,"NC",$E$6:$E$34,"Nữ")</f>
        <v>0</v>
      </c>
      <c r="G48" s="34">
        <f>SUM(E48:F48)</f>
        <v>0</v>
      </c>
      <c r="H48" s="34">
        <f t="shared" si="3"/>
        <v>0</v>
      </c>
      <c r="I48" s="38"/>
      <c r="J48" s="56" t="s">
        <v>32</v>
      </c>
      <c r="K48" s="40" t="s">
        <v>33</v>
      </c>
    </row>
    <row r="49" spans="2:11" ht="15.75">
      <c r="B49" s="54"/>
      <c r="C49" s="191"/>
      <c r="D49" s="34" t="s">
        <v>30</v>
      </c>
      <c r="E49" s="34">
        <f>COUNTIFS($I$6:$I$34,"GC",$E$6:$E$34,"Nam")</f>
        <v>0</v>
      </c>
      <c r="F49" s="34">
        <f>COUNTIFS($I$6:$I$34,"GC",$E$6:$E$34,"Nữ")</f>
        <v>0</v>
      </c>
      <c r="G49" s="34">
        <f t="shared" si="2"/>
        <v>0</v>
      </c>
      <c r="H49" s="34">
        <f t="shared" si="3"/>
        <v>0</v>
      </c>
      <c r="I49" s="38"/>
      <c r="J49" s="45"/>
      <c r="K49" s="57"/>
    </row>
    <row r="50" spans="2:11" ht="15.75">
      <c r="B50" s="44"/>
      <c r="C50" s="192"/>
      <c r="D50" s="41" t="s">
        <v>32</v>
      </c>
      <c r="E50" s="34">
        <f>COUNTIFS($I$6:$I$34,"GC.N",$E$6:$E$34,"Nam")</f>
        <v>0</v>
      </c>
      <c r="F50" s="34">
        <f>COUNTIFS($I$6:$I$34,"GC.N",$E$6:$E$34,"Nữ")</f>
        <v>0</v>
      </c>
      <c r="G50" s="34">
        <f t="shared" si="2"/>
        <v>0</v>
      </c>
      <c r="H50" s="34">
        <f t="shared" si="3"/>
        <v>0</v>
      </c>
      <c r="I50" s="38"/>
      <c r="J50" s="45"/>
      <c r="K50" s="57"/>
    </row>
    <row r="51" spans="2:11" ht="15.75">
      <c r="B51" s="44"/>
      <c r="C51" s="75" t="s">
        <v>16</v>
      </c>
      <c r="D51" s="41"/>
      <c r="E51" s="58">
        <f>SUM(E44:E50)</f>
        <v>14</v>
      </c>
      <c r="F51" s="58">
        <f>SUM(F44:F50)</f>
        <v>16</v>
      </c>
      <c r="G51" s="58">
        <f>SUM(G44:G50)</f>
        <v>30</v>
      </c>
      <c r="H51" s="34">
        <f>SUM(H44:H50)</f>
        <v>100</v>
      </c>
      <c r="I51" s="59"/>
      <c r="J51" s="76"/>
      <c r="K51" s="57"/>
    </row>
    <row r="52" spans="2:11" ht="15.75">
      <c r="B52" s="44"/>
      <c r="C52" s="44"/>
      <c r="G52" s="69"/>
      <c r="H52" s="70"/>
      <c r="I52" s="71" t="s">
        <v>290</v>
      </c>
      <c r="J52" s="71"/>
      <c r="K52" s="72"/>
    </row>
    <row r="53" spans="2:11" ht="15.75">
      <c r="B53" s="44"/>
      <c r="C53" s="44"/>
      <c r="G53" s="43"/>
      <c r="H53" s="45"/>
      <c r="I53" s="76" t="s">
        <v>34</v>
      </c>
      <c r="J53" s="76"/>
      <c r="K53" s="44"/>
    </row>
    <row r="54" spans="2:11" ht="15.75">
      <c r="B54" s="44"/>
      <c r="C54" s="44"/>
      <c r="G54" s="182" t="s">
        <v>115</v>
      </c>
      <c r="H54" s="182"/>
      <c r="I54" s="182"/>
      <c r="J54" s="182"/>
      <c r="K54" s="182"/>
    </row>
    <row r="55" spans="2:11" ht="15.75">
      <c r="B55" s="44"/>
      <c r="C55" s="44"/>
      <c r="G55" s="182" t="s">
        <v>265</v>
      </c>
      <c r="H55" s="182"/>
      <c r="I55" s="182"/>
      <c r="J55" s="182"/>
      <c r="K55" s="182"/>
    </row>
  </sheetData>
  <sortState ref="C6:E35">
    <sortCondition ref="D6:D35"/>
  </sortState>
  <mergeCells count="14">
    <mergeCell ref="J3:J5"/>
    <mergeCell ref="C44:C50"/>
    <mergeCell ref="G54:K54"/>
    <mergeCell ref="G55:K55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pageMargins left="0.28000000000000003" right="0.2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P56"/>
  <sheetViews>
    <sheetView tabSelected="1" topLeftCell="A46" zoomScale="107" zoomScaleNormal="107" workbookViewId="0">
      <selection activeCell="C57" sqref="C57"/>
    </sheetView>
  </sheetViews>
  <sheetFormatPr defaultRowHeight="15"/>
  <cols>
    <col min="1" max="1" width="5.7109375" customWidth="1"/>
    <col min="2" max="2" width="5.28515625" customWidth="1"/>
    <col min="3" max="3" width="22.85546875" customWidth="1"/>
    <col min="4" max="4" width="9.5703125" style="105" customWidth="1"/>
    <col min="5" max="5" width="6.5703125" customWidth="1"/>
    <col min="6" max="7" width="6.85546875" customWidth="1"/>
    <col min="8" max="9" width="7.5703125" customWidth="1"/>
    <col min="10" max="10" width="7" customWidth="1"/>
  </cols>
  <sheetData>
    <row r="1" spans="2:16" ht="20.25">
      <c r="B1" s="211" t="s">
        <v>39</v>
      </c>
      <c r="C1" s="211"/>
      <c r="D1" s="211"/>
      <c r="E1" s="211"/>
      <c r="F1" s="211"/>
      <c r="G1" s="211"/>
      <c r="H1" s="211"/>
      <c r="I1" s="211"/>
      <c r="J1" s="211"/>
      <c r="K1" s="211"/>
      <c r="P1">
        <v>1</v>
      </c>
    </row>
    <row r="2" spans="2:16" ht="18.75">
      <c r="B2" s="204" t="s">
        <v>40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2:16" ht="20.25" customHeight="1">
      <c r="B3" s="212" t="s">
        <v>0</v>
      </c>
      <c r="C3" s="212" t="s">
        <v>1</v>
      </c>
      <c r="D3" s="215" t="s">
        <v>2</v>
      </c>
      <c r="E3" s="218" t="s">
        <v>3</v>
      </c>
      <c r="F3" s="219" t="s">
        <v>4</v>
      </c>
      <c r="G3" s="218" t="s">
        <v>5</v>
      </c>
      <c r="H3" s="219" t="s">
        <v>6</v>
      </c>
      <c r="I3" s="218" t="s">
        <v>5</v>
      </c>
      <c r="J3" s="222" t="s">
        <v>7</v>
      </c>
      <c r="K3" s="1"/>
      <c r="L3" s="46"/>
      <c r="M3" s="46"/>
    </row>
    <row r="4" spans="2:16" ht="18.75">
      <c r="B4" s="213"/>
      <c r="C4" s="213"/>
      <c r="D4" s="216"/>
      <c r="E4" s="213"/>
      <c r="F4" s="220"/>
      <c r="G4" s="213"/>
      <c r="H4" s="220"/>
      <c r="I4" s="213"/>
      <c r="J4" s="223"/>
      <c r="K4" s="2"/>
      <c r="L4" s="46"/>
      <c r="M4" s="46"/>
    </row>
    <row r="5" spans="2:16" ht="18">
      <c r="B5" s="214"/>
      <c r="C5" s="214"/>
      <c r="D5" s="217"/>
      <c r="E5" s="214"/>
      <c r="F5" s="221"/>
      <c r="G5" s="214"/>
      <c r="H5" s="221"/>
      <c r="I5" s="214"/>
      <c r="J5" s="223"/>
      <c r="K5" s="3"/>
      <c r="L5" s="47"/>
      <c r="M5" s="46"/>
    </row>
    <row r="6" spans="2:16" s="116" customFormat="1" ht="30" customHeight="1">
      <c r="B6" s="64">
        <v>1</v>
      </c>
      <c r="C6" s="121" t="s">
        <v>180</v>
      </c>
      <c r="D6" s="114">
        <v>43484</v>
      </c>
      <c r="E6" s="115" t="s">
        <v>11</v>
      </c>
      <c r="F6" s="67">
        <v>113</v>
      </c>
      <c r="G6" s="64" t="s">
        <v>9</v>
      </c>
      <c r="H6" s="64">
        <v>22</v>
      </c>
      <c r="I6" s="64" t="s">
        <v>25</v>
      </c>
      <c r="J6" s="95"/>
      <c r="L6" s="117">
        <f t="shared" ref="L6:L37" si="0">CONVERT(F6,"cm","m")</f>
        <v>1.1299999999999999</v>
      </c>
      <c r="M6" s="46">
        <f t="shared" ref="M6:M37" si="1">ROUND(H6/(L6*L6),1)</f>
        <v>17.2</v>
      </c>
    </row>
    <row r="7" spans="2:16" s="116" customFormat="1" ht="30" customHeight="1">
      <c r="B7" s="64">
        <v>2</v>
      </c>
      <c r="C7" s="122" t="s">
        <v>100</v>
      </c>
      <c r="D7" s="109">
        <v>43490</v>
      </c>
      <c r="E7" s="115" t="s">
        <v>11</v>
      </c>
      <c r="F7" s="67">
        <v>110</v>
      </c>
      <c r="G7" s="64" t="s">
        <v>9</v>
      </c>
      <c r="H7" s="64">
        <v>16</v>
      </c>
      <c r="I7" s="64" t="s">
        <v>9</v>
      </c>
      <c r="J7" s="95"/>
      <c r="L7" s="117">
        <f t="shared" si="0"/>
        <v>1.1000000000000001</v>
      </c>
      <c r="M7" s="46">
        <f t="shared" si="1"/>
        <v>13.2</v>
      </c>
    </row>
    <row r="8" spans="2:16" s="116" customFormat="1" ht="30" customHeight="1">
      <c r="B8" s="64">
        <v>3</v>
      </c>
      <c r="C8" s="121" t="s">
        <v>118</v>
      </c>
      <c r="D8" s="114">
        <v>43497</v>
      </c>
      <c r="E8" s="115" t="s">
        <v>11</v>
      </c>
      <c r="F8" s="64">
        <v>118</v>
      </c>
      <c r="G8" s="64" t="s">
        <v>9</v>
      </c>
      <c r="H8" s="64">
        <v>25</v>
      </c>
      <c r="I8" s="64" t="s">
        <v>25</v>
      </c>
      <c r="J8" s="95"/>
      <c r="L8" s="117">
        <f t="shared" si="0"/>
        <v>1.18</v>
      </c>
      <c r="M8" s="46">
        <f t="shared" si="1"/>
        <v>18</v>
      </c>
    </row>
    <row r="9" spans="2:16" s="116" customFormat="1" ht="30" customHeight="1">
      <c r="B9" s="64">
        <v>4</v>
      </c>
      <c r="C9" s="121" t="s">
        <v>186</v>
      </c>
      <c r="D9" s="114">
        <v>43500</v>
      </c>
      <c r="E9" s="115" t="s">
        <v>11</v>
      </c>
      <c r="F9" s="67">
        <v>109</v>
      </c>
      <c r="G9" s="64" t="s">
        <v>9</v>
      </c>
      <c r="H9" s="64">
        <v>17</v>
      </c>
      <c r="I9" s="64" t="s">
        <v>9</v>
      </c>
      <c r="J9" s="95"/>
      <c r="L9" s="117">
        <f t="shared" si="0"/>
        <v>1.0900000000000001</v>
      </c>
      <c r="M9" s="46">
        <f t="shared" si="1"/>
        <v>14.3</v>
      </c>
    </row>
    <row r="10" spans="2:16" s="116" customFormat="1" ht="30" customHeight="1">
      <c r="B10" s="64">
        <v>5</v>
      </c>
      <c r="C10" s="121" t="s">
        <v>181</v>
      </c>
      <c r="D10" s="114">
        <v>43500</v>
      </c>
      <c r="E10" s="115" t="s">
        <v>11</v>
      </c>
      <c r="F10" s="67">
        <v>114</v>
      </c>
      <c r="G10" s="64" t="s">
        <v>9</v>
      </c>
      <c r="H10" s="64">
        <v>20</v>
      </c>
      <c r="I10" s="64" t="s">
        <v>9</v>
      </c>
      <c r="J10" s="95"/>
      <c r="L10" s="117">
        <f t="shared" si="0"/>
        <v>1.1399999999999999</v>
      </c>
      <c r="M10" s="46">
        <f t="shared" si="1"/>
        <v>15.4</v>
      </c>
    </row>
    <row r="11" spans="2:16" s="116" customFormat="1" ht="30" customHeight="1">
      <c r="B11" s="64">
        <v>6</v>
      </c>
      <c r="C11" s="122" t="s">
        <v>119</v>
      </c>
      <c r="D11" s="109">
        <v>43511</v>
      </c>
      <c r="E11" s="115" t="s">
        <v>11</v>
      </c>
      <c r="F11" s="67">
        <v>119</v>
      </c>
      <c r="G11" s="64" t="s">
        <v>9</v>
      </c>
      <c r="H11" s="64">
        <v>21</v>
      </c>
      <c r="I11" s="64" t="s">
        <v>9</v>
      </c>
      <c r="J11" s="95"/>
      <c r="L11" s="117">
        <f t="shared" si="0"/>
        <v>1.19</v>
      </c>
      <c r="M11" s="46">
        <f t="shared" si="1"/>
        <v>14.8</v>
      </c>
    </row>
    <row r="12" spans="2:16" s="116" customFormat="1" ht="30" customHeight="1">
      <c r="B12" s="64">
        <v>7</v>
      </c>
      <c r="C12" s="121" t="s">
        <v>182</v>
      </c>
      <c r="D12" s="114">
        <v>43548</v>
      </c>
      <c r="E12" s="115" t="s">
        <v>11</v>
      </c>
      <c r="F12" s="67">
        <v>116</v>
      </c>
      <c r="G12" s="64" t="s">
        <v>9</v>
      </c>
      <c r="H12" s="64">
        <v>25</v>
      </c>
      <c r="I12" s="64" t="s">
        <v>25</v>
      </c>
      <c r="J12" s="95"/>
      <c r="L12" s="117">
        <f t="shared" si="0"/>
        <v>1.1599999999999999</v>
      </c>
      <c r="M12" s="46">
        <f t="shared" si="1"/>
        <v>18.600000000000001</v>
      </c>
    </row>
    <row r="13" spans="2:16" s="116" customFormat="1" ht="30" customHeight="1">
      <c r="B13" s="64">
        <v>8</v>
      </c>
      <c r="C13" s="121" t="s">
        <v>62</v>
      </c>
      <c r="D13" s="114">
        <v>43556</v>
      </c>
      <c r="E13" s="115" t="s">
        <v>11</v>
      </c>
      <c r="F13" s="67">
        <v>120</v>
      </c>
      <c r="G13" s="64" t="s">
        <v>9</v>
      </c>
      <c r="H13" s="64">
        <v>29</v>
      </c>
      <c r="I13" s="64" t="s">
        <v>10</v>
      </c>
      <c r="J13" s="95"/>
      <c r="L13" s="117">
        <f t="shared" si="0"/>
        <v>1.2</v>
      </c>
      <c r="M13" s="46">
        <f t="shared" si="1"/>
        <v>20.100000000000001</v>
      </c>
    </row>
    <row r="14" spans="2:16" s="116" customFormat="1" ht="30" customHeight="1">
      <c r="B14" s="64">
        <v>9</v>
      </c>
      <c r="C14" s="122" t="s">
        <v>189</v>
      </c>
      <c r="D14" s="109">
        <v>43562</v>
      </c>
      <c r="E14" s="115" t="s">
        <v>8</v>
      </c>
      <c r="F14" s="67">
        <v>106</v>
      </c>
      <c r="G14" s="64" t="s">
        <v>9</v>
      </c>
      <c r="H14" s="64">
        <v>16</v>
      </c>
      <c r="I14" s="64" t="s">
        <v>9</v>
      </c>
      <c r="J14" s="95"/>
      <c r="L14" s="117">
        <f t="shared" si="0"/>
        <v>1.06</v>
      </c>
      <c r="M14" s="46">
        <f t="shared" si="1"/>
        <v>14.2</v>
      </c>
    </row>
    <row r="15" spans="2:16" s="116" customFormat="1" ht="30" customHeight="1">
      <c r="B15" s="64">
        <v>10</v>
      </c>
      <c r="C15" s="121" t="s">
        <v>185</v>
      </c>
      <c r="D15" s="114">
        <v>43562</v>
      </c>
      <c r="E15" s="115" t="s">
        <v>8</v>
      </c>
      <c r="F15" s="67">
        <v>109</v>
      </c>
      <c r="G15" s="64" t="s">
        <v>9</v>
      </c>
      <c r="H15" s="64">
        <v>18</v>
      </c>
      <c r="I15" s="64" t="s">
        <v>9</v>
      </c>
      <c r="J15" s="95"/>
      <c r="L15" s="117">
        <f t="shared" si="0"/>
        <v>1.0900000000000001</v>
      </c>
      <c r="M15" s="46">
        <f t="shared" si="1"/>
        <v>15.2</v>
      </c>
    </row>
    <row r="16" spans="2:16" s="116" customFormat="1" ht="30" customHeight="1">
      <c r="B16" s="64">
        <v>11</v>
      </c>
      <c r="C16" s="121" t="s">
        <v>174</v>
      </c>
      <c r="D16" s="114">
        <v>43568</v>
      </c>
      <c r="E16" s="115" t="s">
        <v>8</v>
      </c>
      <c r="F16" s="67">
        <v>118</v>
      </c>
      <c r="G16" s="64" t="s">
        <v>9</v>
      </c>
      <c r="H16" s="64">
        <v>19</v>
      </c>
      <c r="I16" s="64" t="s">
        <v>9</v>
      </c>
      <c r="J16" s="95"/>
      <c r="L16" s="117">
        <f t="shared" si="0"/>
        <v>1.18</v>
      </c>
      <c r="M16" s="46">
        <f t="shared" si="1"/>
        <v>13.6</v>
      </c>
    </row>
    <row r="17" spans="2:14" s="116" customFormat="1" ht="30" customHeight="1">
      <c r="B17" s="64">
        <v>12</v>
      </c>
      <c r="C17" s="121" t="s">
        <v>187</v>
      </c>
      <c r="D17" s="114">
        <v>43570</v>
      </c>
      <c r="E17" s="115" t="s">
        <v>8</v>
      </c>
      <c r="F17" s="67">
        <v>121</v>
      </c>
      <c r="G17" s="64" t="s">
        <v>9</v>
      </c>
      <c r="H17" s="64">
        <v>35</v>
      </c>
      <c r="I17" s="64" t="s">
        <v>10</v>
      </c>
      <c r="J17" s="95"/>
      <c r="L17" s="117">
        <f t="shared" si="0"/>
        <v>1.21</v>
      </c>
      <c r="M17" s="46">
        <f t="shared" si="1"/>
        <v>23.9</v>
      </c>
    </row>
    <row r="18" spans="2:14" s="116" customFormat="1" ht="30" customHeight="1">
      <c r="B18" s="64">
        <v>13</v>
      </c>
      <c r="C18" s="121" t="s">
        <v>183</v>
      </c>
      <c r="D18" s="114">
        <v>43616</v>
      </c>
      <c r="E18" s="115" t="s">
        <v>11</v>
      </c>
      <c r="F18" s="67">
        <v>113</v>
      </c>
      <c r="G18" s="64" t="s">
        <v>9</v>
      </c>
      <c r="H18" s="64">
        <v>24</v>
      </c>
      <c r="I18" s="64" t="s">
        <v>25</v>
      </c>
      <c r="J18" s="95"/>
      <c r="L18" s="117">
        <f t="shared" si="0"/>
        <v>1.1299999999999999</v>
      </c>
      <c r="M18" s="46">
        <f t="shared" si="1"/>
        <v>18.8</v>
      </c>
    </row>
    <row r="19" spans="2:14" s="116" customFormat="1" ht="30" customHeight="1">
      <c r="B19" s="64">
        <v>14</v>
      </c>
      <c r="C19" s="121" t="s">
        <v>90</v>
      </c>
      <c r="D19" s="114">
        <v>43635</v>
      </c>
      <c r="E19" s="115" t="s">
        <v>8</v>
      </c>
      <c r="F19" s="67">
        <v>119</v>
      </c>
      <c r="G19" s="64" t="s">
        <v>9</v>
      </c>
      <c r="H19" s="64">
        <v>22</v>
      </c>
      <c r="I19" s="64" t="s">
        <v>9</v>
      </c>
      <c r="J19" s="95"/>
      <c r="L19" s="117">
        <f>CONVERT(F19,"cm","m")</f>
        <v>1.19</v>
      </c>
      <c r="M19" s="46">
        <f>ROUND(H19/(L19*L19),1)</f>
        <v>15.5</v>
      </c>
    </row>
    <row r="20" spans="2:14" s="116" customFormat="1" ht="30" customHeight="1">
      <c r="B20" s="64">
        <v>15</v>
      </c>
      <c r="C20" s="122" t="s">
        <v>190</v>
      </c>
      <c r="D20" s="109">
        <v>43630</v>
      </c>
      <c r="E20" s="115" t="s">
        <v>8</v>
      </c>
      <c r="F20" s="67">
        <v>105</v>
      </c>
      <c r="G20" s="64" t="s">
        <v>9</v>
      </c>
      <c r="H20" s="64">
        <v>16</v>
      </c>
      <c r="I20" s="64" t="s">
        <v>9</v>
      </c>
      <c r="J20" s="95"/>
      <c r="L20" s="117">
        <f t="shared" si="0"/>
        <v>1.05</v>
      </c>
      <c r="M20" s="46">
        <f t="shared" si="1"/>
        <v>14.5</v>
      </c>
    </row>
    <row r="21" spans="2:14" s="116" customFormat="1" ht="30" customHeight="1">
      <c r="B21" s="64">
        <v>16</v>
      </c>
      <c r="C21" s="121" t="s">
        <v>98</v>
      </c>
      <c r="D21" s="114">
        <v>43648</v>
      </c>
      <c r="E21" s="115" t="s">
        <v>11</v>
      </c>
      <c r="F21" s="67">
        <v>105</v>
      </c>
      <c r="G21" s="64" t="s">
        <v>9</v>
      </c>
      <c r="H21" s="64">
        <v>15</v>
      </c>
      <c r="I21" s="64" t="s">
        <v>9</v>
      </c>
      <c r="J21" s="95"/>
      <c r="L21" s="117">
        <f t="shared" si="0"/>
        <v>1.05</v>
      </c>
      <c r="M21" s="46">
        <f t="shared" si="1"/>
        <v>13.6</v>
      </c>
    </row>
    <row r="22" spans="2:14" s="116" customFormat="1" ht="30" customHeight="1">
      <c r="B22" s="64">
        <v>17</v>
      </c>
      <c r="C22" s="121" t="s">
        <v>188</v>
      </c>
      <c r="D22" s="114">
        <v>43663</v>
      </c>
      <c r="E22" s="115" t="s">
        <v>8</v>
      </c>
      <c r="F22" s="67">
        <v>108</v>
      </c>
      <c r="G22" s="64" t="s">
        <v>9</v>
      </c>
      <c r="H22" s="64">
        <v>16</v>
      </c>
      <c r="I22" s="64" t="s">
        <v>9</v>
      </c>
      <c r="J22" s="95"/>
      <c r="L22" s="117">
        <f t="shared" si="0"/>
        <v>1.08</v>
      </c>
      <c r="M22" s="46">
        <f t="shared" si="1"/>
        <v>13.7</v>
      </c>
    </row>
    <row r="23" spans="2:14" s="116" customFormat="1" ht="30" customHeight="1">
      <c r="B23" s="64">
        <v>18</v>
      </c>
      <c r="C23" s="121" t="s">
        <v>175</v>
      </c>
      <c r="D23" s="114">
        <v>43664</v>
      </c>
      <c r="E23" s="115" t="s">
        <v>8</v>
      </c>
      <c r="F23" s="67">
        <v>119</v>
      </c>
      <c r="G23" s="64" t="s">
        <v>9</v>
      </c>
      <c r="H23" s="64">
        <v>23.5</v>
      </c>
      <c r="I23" s="64" t="s">
        <v>9</v>
      </c>
      <c r="J23" s="95"/>
      <c r="L23" s="117">
        <f t="shared" si="0"/>
        <v>1.19</v>
      </c>
      <c r="M23" s="46">
        <f t="shared" si="1"/>
        <v>16.600000000000001</v>
      </c>
    </row>
    <row r="24" spans="2:14" s="116" customFormat="1" ht="30" customHeight="1">
      <c r="B24" s="64">
        <v>19</v>
      </c>
      <c r="C24" s="121" t="s">
        <v>77</v>
      </c>
      <c r="D24" s="114">
        <v>43666</v>
      </c>
      <c r="E24" s="115" t="s">
        <v>11</v>
      </c>
      <c r="F24" s="67">
        <v>110</v>
      </c>
      <c r="G24" s="64" t="s">
        <v>9</v>
      </c>
      <c r="H24" s="64">
        <v>18</v>
      </c>
      <c r="I24" s="64" t="s">
        <v>9</v>
      </c>
      <c r="J24" s="95"/>
      <c r="L24" s="117">
        <f t="shared" si="0"/>
        <v>1.1000000000000001</v>
      </c>
      <c r="M24" s="46">
        <f t="shared" si="1"/>
        <v>14.9</v>
      </c>
    </row>
    <row r="25" spans="2:14" s="116" customFormat="1" ht="30" customHeight="1">
      <c r="B25" s="64">
        <v>20</v>
      </c>
      <c r="C25" s="121" t="s">
        <v>179</v>
      </c>
      <c r="D25" s="114">
        <v>43670</v>
      </c>
      <c r="E25" s="115" t="s">
        <v>11</v>
      </c>
      <c r="F25" s="67">
        <v>121</v>
      </c>
      <c r="G25" s="64" t="s">
        <v>9</v>
      </c>
      <c r="H25" s="64">
        <v>25</v>
      </c>
      <c r="I25" s="64" t="s">
        <v>25</v>
      </c>
      <c r="J25" s="95"/>
      <c r="L25" s="117">
        <f t="shared" si="0"/>
        <v>1.21</v>
      </c>
      <c r="M25" s="46">
        <f t="shared" si="1"/>
        <v>17.100000000000001</v>
      </c>
    </row>
    <row r="26" spans="2:14" s="116" customFormat="1" ht="30" customHeight="1">
      <c r="B26" s="64">
        <v>21</v>
      </c>
      <c r="C26" s="121" t="s">
        <v>184</v>
      </c>
      <c r="D26" s="114">
        <v>43671</v>
      </c>
      <c r="E26" s="115" t="s">
        <v>11</v>
      </c>
      <c r="F26" s="67">
        <v>107</v>
      </c>
      <c r="G26" s="64" t="s">
        <v>9</v>
      </c>
      <c r="H26" s="64">
        <v>17</v>
      </c>
      <c r="I26" s="64" t="s">
        <v>9</v>
      </c>
      <c r="J26" s="95"/>
      <c r="L26" s="117">
        <f>CONVERT(F26,"cm","m")</f>
        <v>1.07</v>
      </c>
      <c r="M26" s="46">
        <f>ROUND(H26/(L26*L26),1)</f>
        <v>14.8</v>
      </c>
    </row>
    <row r="27" spans="2:14" s="116" customFormat="1" ht="30" customHeight="1">
      <c r="B27" s="64">
        <v>22</v>
      </c>
      <c r="C27" s="122" t="s">
        <v>191</v>
      </c>
      <c r="D27" s="84">
        <v>43679</v>
      </c>
      <c r="E27" s="115" t="s">
        <v>11</v>
      </c>
      <c r="F27" s="67">
        <v>110</v>
      </c>
      <c r="G27" s="64" t="s">
        <v>9</v>
      </c>
      <c r="H27" s="64">
        <v>17</v>
      </c>
      <c r="I27" s="64" t="s">
        <v>9</v>
      </c>
      <c r="J27" s="95"/>
      <c r="L27" s="117">
        <f t="shared" si="0"/>
        <v>1.1000000000000001</v>
      </c>
      <c r="M27" s="46">
        <f t="shared" si="1"/>
        <v>14</v>
      </c>
    </row>
    <row r="28" spans="2:14" s="116" customFormat="1" ht="30" customHeight="1">
      <c r="B28" s="64">
        <v>23</v>
      </c>
      <c r="C28" s="121" t="s">
        <v>177</v>
      </c>
      <c r="D28" s="114">
        <v>43685</v>
      </c>
      <c r="E28" s="115" t="s">
        <v>8</v>
      </c>
      <c r="F28" s="67">
        <v>109</v>
      </c>
      <c r="G28" s="64" t="s">
        <v>9</v>
      </c>
      <c r="H28" s="64">
        <v>16</v>
      </c>
      <c r="I28" s="64" t="s">
        <v>9</v>
      </c>
      <c r="J28" s="95"/>
      <c r="L28" s="117">
        <f t="shared" si="0"/>
        <v>1.0900000000000001</v>
      </c>
      <c r="M28" s="46">
        <f t="shared" si="1"/>
        <v>13.5</v>
      </c>
    </row>
    <row r="29" spans="2:14" s="116" customFormat="1" ht="30" customHeight="1">
      <c r="B29" s="64">
        <v>24</v>
      </c>
      <c r="C29" s="121" t="s">
        <v>267</v>
      </c>
      <c r="D29" s="114">
        <v>43698</v>
      </c>
      <c r="E29" s="115" t="s">
        <v>8</v>
      </c>
      <c r="F29" s="67">
        <v>112</v>
      </c>
      <c r="G29" s="64" t="s">
        <v>9</v>
      </c>
      <c r="H29" s="64">
        <v>25</v>
      </c>
      <c r="I29" s="64" t="s">
        <v>10</v>
      </c>
      <c r="J29" s="95"/>
      <c r="L29" s="117">
        <f t="shared" si="0"/>
        <v>1.1200000000000001</v>
      </c>
      <c r="M29" s="46">
        <f>ROUND(H29/(L29*L29),1)</f>
        <v>19.899999999999999</v>
      </c>
      <c r="N29" s="116">
        <f>25/(1.12*1.12)</f>
        <v>19.929846938775508</v>
      </c>
    </row>
    <row r="30" spans="2:14" s="116" customFormat="1" ht="30" customHeight="1">
      <c r="B30" s="64">
        <v>25</v>
      </c>
      <c r="C30" s="121" t="s">
        <v>54</v>
      </c>
      <c r="D30" s="114">
        <v>43707</v>
      </c>
      <c r="E30" s="115" t="s">
        <v>8</v>
      </c>
      <c r="F30" s="67">
        <v>112</v>
      </c>
      <c r="G30" s="64" t="s">
        <v>9</v>
      </c>
      <c r="H30" s="64">
        <v>21</v>
      </c>
      <c r="I30" s="64" t="s">
        <v>9</v>
      </c>
      <c r="J30" s="95"/>
      <c r="L30" s="117">
        <f>CONVERT(F30,"cm","m")</f>
        <v>1.1200000000000001</v>
      </c>
      <c r="M30" s="46">
        <f>ROUND(H30/(L30*L30),1)</f>
        <v>16.7</v>
      </c>
    </row>
    <row r="31" spans="2:14" s="116" customFormat="1" ht="30" customHeight="1">
      <c r="B31" s="64">
        <v>26</v>
      </c>
      <c r="C31" s="121" t="s">
        <v>66</v>
      </c>
      <c r="D31" s="114">
        <v>43735</v>
      </c>
      <c r="E31" s="115" t="s">
        <v>8</v>
      </c>
      <c r="F31" s="67">
        <v>115</v>
      </c>
      <c r="G31" s="64" t="s">
        <v>9</v>
      </c>
      <c r="H31" s="64">
        <v>23</v>
      </c>
      <c r="I31" s="64" t="s">
        <v>25</v>
      </c>
      <c r="J31" s="95"/>
      <c r="L31" s="117">
        <f t="shared" si="0"/>
        <v>1.1499999999999999</v>
      </c>
      <c r="M31" s="46">
        <f>ROUND(H31/(L31*L31),1)</f>
        <v>17.399999999999999</v>
      </c>
    </row>
    <row r="32" spans="2:14" s="116" customFormat="1" ht="30" customHeight="1">
      <c r="B32" s="64">
        <v>27</v>
      </c>
      <c r="C32" s="121" t="s">
        <v>74</v>
      </c>
      <c r="D32" s="114">
        <v>43741</v>
      </c>
      <c r="E32" s="115" t="s">
        <v>11</v>
      </c>
      <c r="F32" s="67">
        <v>120</v>
      </c>
      <c r="G32" s="64" t="s">
        <v>9</v>
      </c>
      <c r="H32" s="67">
        <v>24</v>
      </c>
      <c r="I32" s="64" t="s">
        <v>9</v>
      </c>
      <c r="J32" s="95"/>
      <c r="L32" s="117">
        <f t="shared" si="0"/>
        <v>1.2</v>
      </c>
      <c r="M32" s="46">
        <f t="shared" si="1"/>
        <v>16.7</v>
      </c>
    </row>
    <row r="33" spans="2:13" s="116" customFormat="1" ht="30" customHeight="1">
      <c r="B33" s="64">
        <v>28</v>
      </c>
      <c r="C33" s="121" t="s">
        <v>176</v>
      </c>
      <c r="D33" s="114">
        <v>43742</v>
      </c>
      <c r="E33" s="115" t="s">
        <v>8</v>
      </c>
      <c r="F33" s="67">
        <v>108</v>
      </c>
      <c r="G33" s="64" t="s">
        <v>9</v>
      </c>
      <c r="H33" s="64">
        <v>17</v>
      </c>
      <c r="I33" s="64" t="s">
        <v>9</v>
      </c>
      <c r="J33" s="95"/>
      <c r="L33" s="117">
        <f t="shared" si="0"/>
        <v>1.08</v>
      </c>
      <c r="M33" s="46">
        <f t="shared" si="1"/>
        <v>14.6</v>
      </c>
    </row>
    <row r="34" spans="2:13" s="116" customFormat="1" ht="30" customHeight="1">
      <c r="B34" s="64">
        <v>29</v>
      </c>
      <c r="C34" s="121" t="s">
        <v>105</v>
      </c>
      <c r="D34" s="114">
        <v>43746</v>
      </c>
      <c r="E34" s="115" t="s">
        <v>11</v>
      </c>
      <c r="F34" s="67">
        <v>112</v>
      </c>
      <c r="G34" s="64" t="s">
        <v>9</v>
      </c>
      <c r="H34" s="64">
        <v>17</v>
      </c>
      <c r="I34" s="64" t="s">
        <v>9</v>
      </c>
      <c r="J34" s="95"/>
      <c r="L34" s="117">
        <f t="shared" si="0"/>
        <v>1.1200000000000001</v>
      </c>
      <c r="M34" s="46">
        <f t="shared" si="1"/>
        <v>13.6</v>
      </c>
    </row>
    <row r="35" spans="2:13" s="118" customFormat="1" ht="30" customHeight="1">
      <c r="B35" s="64">
        <v>30</v>
      </c>
      <c r="C35" s="121" t="s">
        <v>61</v>
      </c>
      <c r="D35" s="114">
        <v>43793</v>
      </c>
      <c r="E35" s="115" t="s">
        <v>11</v>
      </c>
      <c r="F35" s="67">
        <v>111</v>
      </c>
      <c r="G35" s="64" t="s">
        <v>9</v>
      </c>
      <c r="H35" s="64">
        <v>19</v>
      </c>
      <c r="I35" s="64" t="s">
        <v>9</v>
      </c>
      <c r="J35" s="95"/>
      <c r="L35" s="117">
        <f t="shared" si="0"/>
        <v>1.1100000000000001</v>
      </c>
      <c r="M35" s="46">
        <f t="shared" si="1"/>
        <v>15.4</v>
      </c>
    </row>
    <row r="36" spans="2:13" s="118" customFormat="1" ht="30" customHeight="1">
      <c r="B36" s="64">
        <v>31</v>
      </c>
      <c r="C36" s="121" t="s">
        <v>178</v>
      </c>
      <c r="D36" s="114">
        <v>43807</v>
      </c>
      <c r="E36" s="115" t="s">
        <v>11</v>
      </c>
      <c r="F36" s="67">
        <v>103</v>
      </c>
      <c r="G36" s="64" t="s">
        <v>9</v>
      </c>
      <c r="H36" s="64">
        <v>14</v>
      </c>
      <c r="I36" s="64" t="s">
        <v>9</v>
      </c>
      <c r="J36" s="95"/>
      <c r="L36" s="117">
        <f t="shared" si="0"/>
        <v>1.03</v>
      </c>
      <c r="M36" s="46">
        <f t="shared" si="1"/>
        <v>13.2</v>
      </c>
    </row>
    <row r="37" spans="2:13" s="118" customFormat="1" ht="30" customHeight="1">
      <c r="B37" s="64">
        <v>32</v>
      </c>
      <c r="C37" s="121" t="s">
        <v>72</v>
      </c>
      <c r="D37" s="114">
        <v>43829</v>
      </c>
      <c r="E37" s="115" t="s">
        <v>8</v>
      </c>
      <c r="F37" s="67">
        <v>113</v>
      </c>
      <c r="G37" s="64" t="s">
        <v>9</v>
      </c>
      <c r="H37" s="64">
        <v>24</v>
      </c>
      <c r="I37" s="64" t="s">
        <v>25</v>
      </c>
      <c r="J37" s="95"/>
      <c r="L37" s="117">
        <f t="shared" si="0"/>
        <v>1.1299999999999999</v>
      </c>
      <c r="M37" s="46">
        <f t="shared" si="1"/>
        <v>18.8</v>
      </c>
    </row>
    <row r="38" spans="2:13" ht="18.75">
      <c r="B38" s="68" t="s">
        <v>274</v>
      </c>
      <c r="C38" s="7"/>
      <c r="D38" s="106"/>
      <c r="E38" s="7"/>
      <c r="F38" s="7"/>
      <c r="G38" s="7"/>
      <c r="H38" s="7"/>
      <c r="I38" s="6"/>
      <c r="J38" s="6"/>
      <c r="K38" s="4"/>
    </row>
    <row r="39" spans="2:13" ht="18.75">
      <c r="B39" s="204" t="s">
        <v>14</v>
      </c>
      <c r="C39" s="204"/>
      <c r="D39" s="204"/>
      <c r="E39" s="204"/>
      <c r="F39" s="204"/>
      <c r="G39" s="204"/>
      <c r="H39" s="204"/>
      <c r="I39" s="7"/>
      <c r="J39" s="7"/>
      <c r="K39" s="8"/>
    </row>
    <row r="40" spans="2:13" ht="18.75">
      <c r="B40" s="9"/>
      <c r="C40" s="205" t="s">
        <v>15</v>
      </c>
      <c r="D40" s="107"/>
      <c r="E40" s="11" t="s">
        <v>8</v>
      </c>
      <c r="F40" s="11" t="s">
        <v>11</v>
      </c>
      <c r="G40" s="11" t="s">
        <v>16</v>
      </c>
      <c r="H40" s="11" t="s">
        <v>17</v>
      </c>
      <c r="I40" s="12"/>
      <c r="J40" s="12" t="s">
        <v>18</v>
      </c>
      <c r="K40" s="8"/>
    </row>
    <row r="41" spans="2:13" ht="31.5">
      <c r="B41" s="13"/>
      <c r="C41" s="206"/>
      <c r="D41" s="107" t="s">
        <v>9</v>
      </c>
      <c r="E41" s="10">
        <f>COUNTIFS($G$6:$G$37,"BT",$E$6:$E$37,"Nam")</f>
        <v>14</v>
      </c>
      <c r="F41" s="10">
        <f>COUNTIFS($G$6:$G$37,"BT",$E$6:$E$37,"Nữ")</f>
        <v>18</v>
      </c>
      <c r="G41" s="10">
        <f>SUM(E41:F41)</f>
        <v>32</v>
      </c>
      <c r="H41" s="10">
        <f>ROUND((G41/32*100),1)</f>
        <v>100</v>
      </c>
      <c r="I41" s="14"/>
      <c r="J41" s="15" t="s">
        <v>9</v>
      </c>
      <c r="K41" s="16" t="s">
        <v>19</v>
      </c>
    </row>
    <row r="42" spans="2:13" ht="47.25">
      <c r="B42" s="13"/>
      <c r="C42" s="206"/>
      <c r="D42" s="107" t="s">
        <v>20</v>
      </c>
      <c r="E42" s="10">
        <f>COUNTIFS($G$6:$G$37,"TC.N",$E$6:$E$37,"Nam")</f>
        <v>0</v>
      </c>
      <c r="F42" s="10">
        <f>COUNTIFS($G$6:$G$37,"TC.N",$E$6:$E$37,"Nữ")</f>
        <v>0</v>
      </c>
      <c r="G42" s="10">
        <f>SUM(E42:F42)</f>
        <v>0</v>
      </c>
      <c r="H42" s="10">
        <f>ROUND((G42/34*100),1)</f>
        <v>0</v>
      </c>
      <c r="I42" s="14"/>
      <c r="J42" s="15" t="s">
        <v>20</v>
      </c>
      <c r="K42" s="16" t="s">
        <v>21</v>
      </c>
    </row>
    <row r="43" spans="2:13" ht="18.75">
      <c r="B43" s="13"/>
      <c r="C43" s="207"/>
      <c r="D43" s="107" t="s">
        <v>12</v>
      </c>
      <c r="E43" s="10">
        <f>COUNTIFS($G$6:$G$37,"TC",$E$6:$E$37,"Nam")</f>
        <v>0</v>
      </c>
      <c r="F43" s="10">
        <f>COUNTIFS($G$6:$G$37,"TC",$E$6:$E$37,"Nữ")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12</v>
      </c>
      <c r="K43" s="16" t="s">
        <v>22</v>
      </c>
    </row>
    <row r="44" spans="2:13" ht="18.75">
      <c r="B44" s="13"/>
      <c r="C44" s="17" t="s">
        <v>16</v>
      </c>
      <c r="D44" s="107"/>
      <c r="E44" s="18">
        <f>SUM(E41:E43)</f>
        <v>14</v>
      </c>
      <c r="F44" s="18">
        <f>SUM(F41:F43)</f>
        <v>18</v>
      </c>
      <c r="G44" s="18">
        <f>SUM(G41:G43)</f>
        <v>32</v>
      </c>
      <c r="H44" s="10">
        <f>SUM(H41:H43)</f>
        <v>100</v>
      </c>
      <c r="I44" s="19"/>
      <c r="J44" s="20" t="s">
        <v>10</v>
      </c>
      <c r="K44" s="16" t="s">
        <v>23</v>
      </c>
    </row>
    <row r="45" spans="2:13" ht="18.75">
      <c r="B45" s="13"/>
      <c r="C45" s="208" t="s">
        <v>24</v>
      </c>
      <c r="D45" s="107" t="s">
        <v>9</v>
      </c>
      <c r="E45" s="18">
        <f>COUNTIFS($I$6:$I$37,"BT",$E$6:$E$37,"Nam")</f>
        <v>10</v>
      </c>
      <c r="F45" s="18">
        <f>COUNTIFS($I$6:$I$37,"BT",$E$6:$E$37,"Nữ")</f>
        <v>12</v>
      </c>
      <c r="G45" s="18">
        <f t="shared" ref="G45:G51" si="2">SUM(E45:F45)</f>
        <v>22</v>
      </c>
      <c r="H45" s="18">
        <f>ROUND((G45/32*100),1)</f>
        <v>68.8</v>
      </c>
      <c r="I45" s="19"/>
      <c r="J45" s="20" t="s">
        <v>25</v>
      </c>
      <c r="K45" s="16" t="s">
        <v>26</v>
      </c>
    </row>
    <row r="46" spans="2:13" ht="47.25">
      <c r="B46" s="13"/>
      <c r="C46" s="209"/>
      <c r="D46" s="107" t="s">
        <v>10</v>
      </c>
      <c r="E46" s="18">
        <f>COUNTIFS($I$6:$I$37,"BP",$E$6:$E$37,"Nam")</f>
        <v>2</v>
      </c>
      <c r="F46" s="18">
        <f>COUNTIFS($I$6:$I$37,"BP",$E$6:$E$37,"Nữ")</f>
        <v>1</v>
      </c>
      <c r="G46" s="18">
        <f t="shared" si="2"/>
        <v>3</v>
      </c>
      <c r="H46" s="18">
        <f>ROUND((G46/32*100),1)</f>
        <v>9.4</v>
      </c>
      <c r="I46" s="19"/>
      <c r="J46" s="21" t="s">
        <v>27</v>
      </c>
      <c r="K46" s="16" t="s">
        <v>28</v>
      </c>
    </row>
    <row r="47" spans="2:13" ht="18.75">
      <c r="B47" s="13"/>
      <c r="C47" s="209"/>
      <c r="D47" s="107" t="s">
        <v>25</v>
      </c>
      <c r="E47" s="18">
        <f>COUNTIFS($I$6:$I$37,"Th.C",$E$6:$E$37,"Nam")</f>
        <v>2</v>
      </c>
      <c r="F47" s="18">
        <f>COUNTIFS($I$6:$I$37,"Th.C",$E$6:$E$37,"Nữ")</f>
        <v>5</v>
      </c>
      <c r="G47" s="18">
        <f t="shared" si="2"/>
        <v>7</v>
      </c>
      <c r="H47" s="18">
        <f>ROUND((G47/32*100),1)</f>
        <v>21.9</v>
      </c>
      <c r="I47" s="19"/>
      <c r="J47" s="22" t="s">
        <v>13</v>
      </c>
      <c r="K47" s="15" t="s">
        <v>29</v>
      </c>
    </row>
    <row r="48" spans="2:13" ht="18.75">
      <c r="B48" s="13"/>
      <c r="C48" s="209"/>
      <c r="D48" s="107" t="s">
        <v>27</v>
      </c>
      <c r="E48" s="18">
        <f>COUNTIFS($I$6:$I$37,"NC.N",$E$6:$E$37,"Nam")</f>
        <v>0</v>
      </c>
      <c r="F48" s="18">
        <f>COUNTIFS($I$6:$I$37,"NC.N",$E$6:$E$37,"Nữ")</f>
        <v>0</v>
      </c>
      <c r="G48" s="18">
        <f t="shared" si="2"/>
        <v>0</v>
      </c>
      <c r="H48" s="18">
        <f>ROUND((G48/34*100),1)</f>
        <v>0</v>
      </c>
      <c r="I48" s="19"/>
      <c r="J48" s="22" t="s">
        <v>30</v>
      </c>
      <c r="K48" s="23" t="s">
        <v>31</v>
      </c>
    </row>
    <row r="49" spans="2:11" ht="47.25">
      <c r="B49" s="13"/>
      <c r="C49" s="209"/>
      <c r="D49" s="107" t="s">
        <v>13</v>
      </c>
      <c r="E49" s="18">
        <f>COUNTIFS($I$6:$I$37,"NC",$E$6:$E$37,"Nam")</f>
        <v>0</v>
      </c>
      <c r="F49" s="18">
        <f>COUNTIFS($I$6:$I$37,"NC",$E$6:$E$37,"Nữ")</f>
        <v>0</v>
      </c>
      <c r="G49" s="18">
        <f t="shared" si="2"/>
        <v>0</v>
      </c>
      <c r="H49" s="18">
        <f>ROUND((G49/32*100),1)</f>
        <v>0</v>
      </c>
      <c r="I49" s="19"/>
      <c r="J49" s="24" t="s">
        <v>32</v>
      </c>
      <c r="K49" s="16" t="s">
        <v>33</v>
      </c>
    </row>
    <row r="50" spans="2:11" ht="18.75">
      <c r="B50" s="13"/>
      <c r="C50" s="209"/>
      <c r="D50" s="107" t="s">
        <v>30</v>
      </c>
      <c r="E50" s="18">
        <f>COUNTIFS($I$6:$I$37,"GC",$E$6:$E$37,"Nam")</f>
        <v>0</v>
      </c>
      <c r="F50" s="18">
        <f>COUNTIFS($I$6:$I$37,"GC",$E$6:$E$37,"Nữ")</f>
        <v>0</v>
      </c>
      <c r="G50" s="18">
        <f t="shared" si="2"/>
        <v>0</v>
      </c>
      <c r="H50" s="18">
        <f>ROUND((G50/32*100),1)</f>
        <v>0</v>
      </c>
      <c r="I50" s="19"/>
      <c r="J50" s="25"/>
    </row>
    <row r="51" spans="2:11" ht="18.75">
      <c r="B51" s="26"/>
      <c r="C51" s="210"/>
      <c r="D51" s="107" t="s">
        <v>32</v>
      </c>
      <c r="E51" s="18">
        <f>COUNTIFS($I$6:$I$37,"GC.N",$E$6:$E$37,"Nam")</f>
        <v>0</v>
      </c>
      <c r="F51" s="18">
        <f>COUNTIFS($I$6:$I$37,"GC.N",$E$6:$E$37,"Nữ")</f>
        <v>0</v>
      </c>
      <c r="G51" s="18">
        <f t="shared" si="2"/>
        <v>0</v>
      </c>
      <c r="H51" s="18">
        <f>ROUND((G51/34*100),1)</f>
        <v>0</v>
      </c>
      <c r="I51" s="19"/>
      <c r="J51" s="25"/>
    </row>
    <row r="52" spans="2:11" ht="18.75">
      <c r="B52" s="26"/>
      <c r="C52" s="17" t="s">
        <v>16</v>
      </c>
      <c r="D52" s="107"/>
      <c r="E52" s="28">
        <f>SUM(E45:E51)</f>
        <v>14</v>
      </c>
      <c r="F52" s="28">
        <f>SUM(F45:F51)</f>
        <v>18</v>
      </c>
      <c r="G52" s="28">
        <f>SUM(G45:G51)</f>
        <v>32</v>
      </c>
      <c r="H52" s="28">
        <f>SUM(H45:H51)</f>
        <v>100.1</v>
      </c>
      <c r="I52" s="29"/>
      <c r="J52" s="30"/>
      <c r="K52" s="26"/>
    </row>
    <row r="53" spans="2:11" ht="18.75">
      <c r="B53" s="26"/>
      <c r="C53" s="26"/>
      <c r="G53" s="60"/>
      <c r="H53" s="61"/>
      <c r="I53" s="77" t="s">
        <v>289</v>
      </c>
      <c r="J53" s="62"/>
      <c r="K53" s="62"/>
    </row>
    <row r="54" spans="2:11" ht="15.75">
      <c r="B54" s="32"/>
      <c r="C54" s="32"/>
      <c r="G54" s="31"/>
      <c r="H54" s="33"/>
      <c r="I54" s="63" t="s">
        <v>34</v>
      </c>
      <c r="J54" s="63"/>
      <c r="K54" s="63"/>
    </row>
    <row r="55" spans="2:11" ht="15.75">
      <c r="B55" s="32"/>
      <c r="C55" s="32"/>
      <c r="D55" s="108"/>
      <c r="E55" s="33"/>
      <c r="F55" s="32"/>
      <c r="G55" s="33"/>
      <c r="H55" s="32" t="s">
        <v>114</v>
      </c>
      <c r="I55" s="32"/>
      <c r="J55" s="32"/>
      <c r="K55" s="5"/>
    </row>
    <row r="56" spans="2:11" ht="15.75">
      <c r="B56" s="32"/>
      <c r="C56" s="32"/>
      <c r="D56" s="108"/>
      <c r="E56" s="33"/>
      <c r="F56" s="32"/>
      <c r="G56" s="33"/>
      <c r="H56" s="32" t="s">
        <v>110</v>
      </c>
      <c r="I56" s="32"/>
      <c r="J56" s="32"/>
      <c r="K56" s="63"/>
    </row>
  </sheetData>
  <sortState ref="C6:E37">
    <sortCondition ref="D6:D37"/>
  </sortState>
  <mergeCells count="14"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71" bottom="0.56000000000000005" header="0.43" footer="0.2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57"/>
  <sheetViews>
    <sheetView topLeftCell="A50" workbookViewId="0">
      <selection activeCell="G51" sqref="G51"/>
    </sheetView>
  </sheetViews>
  <sheetFormatPr defaultRowHeight="15"/>
  <cols>
    <col min="1" max="1" width="4.7109375" customWidth="1"/>
    <col min="2" max="2" width="5.5703125" style="88" customWidth="1"/>
    <col min="3" max="3" width="22.85546875" customWidth="1"/>
    <col min="4" max="4" width="8.7109375" style="105" customWidth="1"/>
    <col min="5" max="5" width="6.42578125" customWidth="1"/>
    <col min="6" max="6" width="7.140625" customWidth="1"/>
    <col min="7" max="7" width="7.28515625" customWidth="1"/>
    <col min="8" max="9" width="7.5703125" customWidth="1"/>
    <col min="10" max="10" width="10" customWidth="1"/>
  </cols>
  <sheetData>
    <row r="1" spans="2:13" ht="20.25">
      <c r="B1" s="211" t="s">
        <v>42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2:13" ht="18.75">
      <c r="B2" s="204" t="s">
        <v>43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2:13" ht="20.25" customHeight="1">
      <c r="B3" s="212" t="s">
        <v>0</v>
      </c>
      <c r="C3" s="212" t="s">
        <v>1</v>
      </c>
      <c r="D3" s="215" t="s">
        <v>2</v>
      </c>
      <c r="E3" s="218" t="s">
        <v>3</v>
      </c>
      <c r="F3" s="219" t="s">
        <v>4</v>
      </c>
      <c r="G3" s="218" t="s">
        <v>5</v>
      </c>
      <c r="H3" s="219" t="s">
        <v>6</v>
      </c>
      <c r="I3" s="218" t="s">
        <v>5</v>
      </c>
      <c r="J3" s="222" t="s">
        <v>7</v>
      </c>
      <c r="K3" s="1"/>
      <c r="L3" s="46"/>
      <c r="M3" s="46"/>
    </row>
    <row r="4" spans="2:13" ht="35.25" customHeight="1">
      <c r="B4" s="213"/>
      <c r="C4" s="213"/>
      <c r="D4" s="216"/>
      <c r="E4" s="213"/>
      <c r="F4" s="220"/>
      <c r="G4" s="213"/>
      <c r="H4" s="220"/>
      <c r="I4" s="213"/>
      <c r="J4" s="223"/>
      <c r="K4" s="2"/>
      <c r="L4" s="46"/>
      <c r="M4" s="46"/>
    </row>
    <row r="5" spans="2:13" ht="18">
      <c r="B5" s="214"/>
      <c r="C5" s="214"/>
      <c r="D5" s="217"/>
      <c r="E5" s="214"/>
      <c r="F5" s="221"/>
      <c r="G5" s="214"/>
      <c r="H5" s="221"/>
      <c r="I5" s="214"/>
      <c r="J5" s="223"/>
      <c r="K5" s="3"/>
      <c r="L5" s="47"/>
      <c r="M5" s="46"/>
    </row>
    <row r="6" spans="2:13" s="145" customFormat="1" ht="30" customHeight="1">
      <c r="B6" s="10">
        <v>1</v>
      </c>
      <c r="C6" s="129" t="s">
        <v>71</v>
      </c>
      <c r="D6" s="130">
        <v>43477</v>
      </c>
      <c r="E6" s="131" t="s">
        <v>8</v>
      </c>
      <c r="F6" s="143">
        <v>120</v>
      </c>
      <c r="G6" s="144" t="s">
        <v>9</v>
      </c>
      <c r="H6" s="143">
        <v>24</v>
      </c>
      <c r="I6" s="144" t="s">
        <v>9</v>
      </c>
      <c r="J6" s="85"/>
      <c r="L6" s="86">
        <f t="shared" ref="L6:L11" si="0">CONVERT(F6,"cm","m")</f>
        <v>1.2</v>
      </c>
      <c r="M6" s="146">
        <f t="shared" ref="M6:M11" si="1">ROUND(H6/(L6*L6),1)</f>
        <v>16.7</v>
      </c>
    </row>
    <row r="7" spans="2:13" s="145" customFormat="1" ht="30" customHeight="1">
      <c r="B7" s="10">
        <v>2</v>
      </c>
      <c r="C7" s="129" t="s">
        <v>109</v>
      </c>
      <c r="D7" s="130">
        <v>43493</v>
      </c>
      <c r="E7" s="131" t="s">
        <v>11</v>
      </c>
      <c r="F7" s="143">
        <v>122</v>
      </c>
      <c r="G7" s="144" t="s">
        <v>9</v>
      </c>
      <c r="H7" s="143">
        <v>28</v>
      </c>
      <c r="I7" s="144" t="s">
        <v>25</v>
      </c>
      <c r="J7" s="85"/>
      <c r="L7" s="86">
        <f t="shared" si="0"/>
        <v>1.22</v>
      </c>
      <c r="M7" s="146">
        <f t="shared" si="1"/>
        <v>18.8</v>
      </c>
    </row>
    <row r="8" spans="2:13" s="145" customFormat="1" ht="30" customHeight="1">
      <c r="B8" s="10">
        <v>3</v>
      </c>
      <c r="C8" s="129" t="s">
        <v>53</v>
      </c>
      <c r="D8" s="130">
        <v>43498</v>
      </c>
      <c r="E8" s="131" t="s">
        <v>8</v>
      </c>
      <c r="F8" s="143">
        <v>116</v>
      </c>
      <c r="G8" s="144" t="s">
        <v>9</v>
      </c>
      <c r="H8" s="143">
        <v>22</v>
      </c>
      <c r="I8" s="144" t="s">
        <v>9</v>
      </c>
      <c r="J8" s="85"/>
      <c r="L8" s="86">
        <f t="shared" si="0"/>
        <v>1.1599999999999999</v>
      </c>
      <c r="M8" s="146">
        <f t="shared" si="1"/>
        <v>16.3</v>
      </c>
    </row>
    <row r="9" spans="2:13" s="145" customFormat="1" ht="30" customHeight="1">
      <c r="B9" s="10">
        <v>4</v>
      </c>
      <c r="C9" s="129" t="s">
        <v>211</v>
      </c>
      <c r="D9" s="130">
        <v>43498</v>
      </c>
      <c r="E9" s="131" t="s">
        <v>8</v>
      </c>
      <c r="F9" s="143">
        <v>118</v>
      </c>
      <c r="G9" s="144" t="s">
        <v>9</v>
      </c>
      <c r="H9" s="143">
        <v>22</v>
      </c>
      <c r="I9" s="144" t="s">
        <v>9</v>
      </c>
      <c r="J9" s="85"/>
      <c r="L9" s="86">
        <f t="shared" si="0"/>
        <v>1.18</v>
      </c>
      <c r="M9" s="146">
        <f t="shared" si="1"/>
        <v>15.8</v>
      </c>
    </row>
    <row r="10" spans="2:13" s="163" customFormat="1" ht="30" customHeight="1">
      <c r="B10" s="64">
        <v>5</v>
      </c>
      <c r="C10" s="121" t="s">
        <v>194</v>
      </c>
      <c r="D10" s="114">
        <v>43506</v>
      </c>
      <c r="E10" s="115" t="s">
        <v>8</v>
      </c>
      <c r="F10" s="160">
        <v>115</v>
      </c>
      <c r="G10" s="144" t="s">
        <v>9</v>
      </c>
      <c r="H10" s="160">
        <v>22</v>
      </c>
      <c r="I10" s="161" t="s">
        <v>9</v>
      </c>
      <c r="J10" s="162"/>
      <c r="L10" s="164">
        <f t="shared" si="0"/>
        <v>1.1499999999999999</v>
      </c>
      <c r="M10" s="165">
        <f t="shared" si="1"/>
        <v>16.600000000000001</v>
      </c>
    </row>
    <row r="11" spans="2:13" s="145" customFormat="1" ht="30" customHeight="1">
      <c r="B11" s="10">
        <v>6</v>
      </c>
      <c r="C11" s="147" t="s">
        <v>213</v>
      </c>
      <c r="D11" s="130">
        <v>43871</v>
      </c>
      <c r="E11" s="131" t="s">
        <v>8</v>
      </c>
      <c r="F11" s="143">
        <v>109</v>
      </c>
      <c r="G11" s="144" t="s">
        <v>9</v>
      </c>
      <c r="H11" s="143">
        <v>16</v>
      </c>
      <c r="I11" s="144" t="s">
        <v>9</v>
      </c>
      <c r="J11" s="85"/>
      <c r="L11" s="86">
        <f t="shared" si="0"/>
        <v>1.0900000000000001</v>
      </c>
      <c r="M11" s="146">
        <f t="shared" si="1"/>
        <v>13.5</v>
      </c>
    </row>
    <row r="12" spans="2:13" s="163" customFormat="1" ht="30" customHeight="1">
      <c r="B12" s="64">
        <v>7</v>
      </c>
      <c r="C12" s="121" t="s">
        <v>197</v>
      </c>
      <c r="D12" s="114">
        <v>43532</v>
      </c>
      <c r="E12" s="115" t="s">
        <v>8</v>
      </c>
      <c r="F12" s="160">
        <v>109</v>
      </c>
      <c r="G12" s="144" t="s">
        <v>9</v>
      </c>
      <c r="H12" s="160">
        <v>16</v>
      </c>
      <c r="I12" s="161" t="s">
        <v>9</v>
      </c>
      <c r="J12" s="162"/>
      <c r="L12" s="164">
        <f t="shared" ref="L12:L30" si="2">CONVERT(F12,"cm","m")</f>
        <v>1.0900000000000001</v>
      </c>
      <c r="M12" s="165">
        <f t="shared" ref="M12:M30" si="3">ROUND(H12/(L12*L12),1)</f>
        <v>13.5</v>
      </c>
    </row>
    <row r="13" spans="2:13" s="145" customFormat="1" ht="30" customHeight="1">
      <c r="B13" s="10">
        <v>8</v>
      </c>
      <c r="C13" s="121" t="s">
        <v>205</v>
      </c>
      <c r="D13" s="130">
        <v>43552</v>
      </c>
      <c r="E13" s="131" t="s">
        <v>11</v>
      </c>
      <c r="F13" s="143">
        <v>109</v>
      </c>
      <c r="G13" s="144" t="s">
        <v>9</v>
      </c>
      <c r="H13" s="143">
        <v>19</v>
      </c>
      <c r="I13" s="144" t="s">
        <v>9</v>
      </c>
      <c r="J13" s="85"/>
      <c r="L13" s="86">
        <f t="shared" si="2"/>
        <v>1.0900000000000001</v>
      </c>
      <c r="M13" s="146">
        <f t="shared" si="3"/>
        <v>16</v>
      </c>
    </row>
    <row r="14" spans="2:13" s="145" customFormat="1" ht="30" customHeight="1">
      <c r="B14" s="10">
        <v>9</v>
      </c>
      <c r="C14" s="121" t="s">
        <v>195</v>
      </c>
      <c r="D14" s="130">
        <v>43556</v>
      </c>
      <c r="E14" s="131" t="s">
        <v>8</v>
      </c>
      <c r="F14" s="143">
        <v>123</v>
      </c>
      <c r="G14" s="144" t="s">
        <v>9</v>
      </c>
      <c r="H14" s="143">
        <v>23</v>
      </c>
      <c r="I14" s="144" t="s">
        <v>9</v>
      </c>
      <c r="J14" s="85"/>
      <c r="L14" s="86">
        <f t="shared" si="2"/>
        <v>1.23</v>
      </c>
      <c r="M14" s="146">
        <f t="shared" si="3"/>
        <v>15.2</v>
      </c>
    </row>
    <row r="15" spans="2:13" s="163" customFormat="1" ht="30" customHeight="1">
      <c r="B15" s="64">
        <v>10</v>
      </c>
      <c r="C15" s="121" t="s">
        <v>97</v>
      </c>
      <c r="D15" s="114">
        <v>43565</v>
      </c>
      <c r="E15" s="115" t="s">
        <v>11</v>
      </c>
      <c r="F15" s="160">
        <v>105</v>
      </c>
      <c r="G15" s="144" t="s">
        <v>9</v>
      </c>
      <c r="H15" s="160">
        <v>15</v>
      </c>
      <c r="I15" s="161" t="s">
        <v>9</v>
      </c>
      <c r="J15" s="162"/>
      <c r="L15" s="164">
        <f t="shared" si="2"/>
        <v>1.05</v>
      </c>
      <c r="M15" s="165">
        <f t="shared" si="3"/>
        <v>13.6</v>
      </c>
    </row>
    <row r="16" spans="2:13" s="145" customFormat="1" ht="30" customHeight="1">
      <c r="B16" s="10">
        <v>11</v>
      </c>
      <c r="C16" s="129" t="s">
        <v>60</v>
      </c>
      <c r="D16" s="130">
        <v>43577</v>
      </c>
      <c r="E16" s="131" t="s">
        <v>11</v>
      </c>
      <c r="F16" s="143">
        <v>116</v>
      </c>
      <c r="G16" s="144" t="s">
        <v>9</v>
      </c>
      <c r="H16" s="143">
        <v>22</v>
      </c>
      <c r="I16" s="144" t="s">
        <v>9</v>
      </c>
      <c r="J16" s="85"/>
      <c r="L16" s="86">
        <f t="shared" si="2"/>
        <v>1.1599999999999999</v>
      </c>
      <c r="M16" s="146">
        <f t="shared" si="3"/>
        <v>16.3</v>
      </c>
    </row>
    <row r="17" spans="2:13" s="145" customFormat="1" ht="30" customHeight="1">
      <c r="B17" s="10">
        <v>12</v>
      </c>
      <c r="C17" s="129" t="s">
        <v>206</v>
      </c>
      <c r="D17" s="130">
        <v>43587</v>
      </c>
      <c r="E17" s="131" t="s">
        <v>11</v>
      </c>
      <c r="F17" s="143">
        <v>118</v>
      </c>
      <c r="G17" s="144" t="s">
        <v>9</v>
      </c>
      <c r="H17" s="143">
        <v>28</v>
      </c>
      <c r="I17" s="144" t="s">
        <v>10</v>
      </c>
      <c r="J17" s="85"/>
      <c r="L17" s="86">
        <f t="shared" si="2"/>
        <v>1.18</v>
      </c>
      <c r="M17" s="146">
        <f t="shared" si="3"/>
        <v>20.100000000000001</v>
      </c>
    </row>
    <row r="18" spans="2:13" s="145" customFormat="1" ht="30" customHeight="1">
      <c r="B18" s="10">
        <v>13</v>
      </c>
      <c r="C18" s="129" t="s">
        <v>199</v>
      </c>
      <c r="D18" s="130">
        <v>43602</v>
      </c>
      <c r="E18" s="131" t="s">
        <v>11</v>
      </c>
      <c r="F18" s="143">
        <v>109</v>
      </c>
      <c r="G18" s="144" t="s">
        <v>9</v>
      </c>
      <c r="H18" s="143">
        <v>16</v>
      </c>
      <c r="I18" s="144" t="s">
        <v>9</v>
      </c>
      <c r="J18" s="85"/>
      <c r="L18" s="86">
        <f t="shared" si="2"/>
        <v>1.0900000000000001</v>
      </c>
      <c r="M18" s="146">
        <f t="shared" si="3"/>
        <v>13.5</v>
      </c>
    </row>
    <row r="19" spans="2:13" s="145" customFormat="1" ht="30" customHeight="1">
      <c r="B19" s="10">
        <v>14</v>
      </c>
      <c r="C19" s="129" t="s">
        <v>193</v>
      </c>
      <c r="D19" s="130">
        <v>43607</v>
      </c>
      <c r="E19" s="131" t="s">
        <v>8</v>
      </c>
      <c r="F19" s="143">
        <v>107</v>
      </c>
      <c r="G19" s="144" t="s">
        <v>9</v>
      </c>
      <c r="H19" s="143">
        <v>20</v>
      </c>
      <c r="I19" s="144" t="s">
        <v>25</v>
      </c>
      <c r="J19" s="85"/>
      <c r="L19" s="86">
        <f t="shared" si="2"/>
        <v>1.07</v>
      </c>
      <c r="M19" s="146">
        <f t="shared" si="3"/>
        <v>17.5</v>
      </c>
    </row>
    <row r="20" spans="2:13" s="145" customFormat="1" ht="30" customHeight="1">
      <c r="B20" s="10">
        <v>15</v>
      </c>
      <c r="C20" s="129" t="s">
        <v>207</v>
      </c>
      <c r="D20" s="130">
        <v>43607</v>
      </c>
      <c r="E20" s="131" t="s">
        <v>11</v>
      </c>
      <c r="F20" s="143">
        <v>110</v>
      </c>
      <c r="G20" s="144" t="s">
        <v>9</v>
      </c>
      <c r="H20" s="143">
        <v>17</v>
      </c>
      <c r="I20" s="144" t="s">
        <v>9</v>
      </c>
      <c r="J20" s="85"/>
      <c r="L20" s="86">
        <f t="shared" si="2"/>
        <v>1.1000000000000001</v>
      </c>
      <c r="M20" s="146">
        <f t="shared" si="3"/>
        <v>14</v>
      </c>
    </row>
    <row r="21" spans="2:13" s="145" customFormat="1" ht="30" customHeight="1">
      <c r="B21" s="10">
        <v>16</v>
      </c>
      <c r="C21" s="129" t="s">
        <v>208</v>
      </c>
      <c r="D21" s="130">
        <v>43635</v>
      </c>
      <c r="E21" s="131" t="s">
        <v>8</v>
      </c>
      <c r="F21" s="143">
        <v>111</v>
      </c>
      <c r="G21" s="144" t="s">
        <v>9</v>
      </c>
      <c r="H21" s="143">
        <v>16</v>
      </c>
      <c r="I21" s="144" t="s">
        <v>9</v>
      </c>
      <c r="J21" s="85"/>
      <c r="L21" s="86">
        <f t="shared" si="2"/>
        <v>1.1100000000000001</v>
      </c>
      <c r="M21" s="146">
        <f t="shared" si="3"/>
        <v>13</v>
      </c>
    </row>
    <row r="22" spans="2:13" s="163" customFormat="1" ht="30" customHeight="1">
      <c r="B22" s="64">
        <v>17</v>
      </c>
      <c r="C22" s="121" t="s">
        <v>102</v>
      </c>
      <c r="D22" s="114">
        <v>43651</v>
      </c>
      <c r="E22" s="115" t="s">
        <v>8</v>
      </c>
      <c r="F22" s="160">
        <v>121</v>
      </c>
      <c r="G22" s="144" t="s">
        <v>9</v>
      </c>
      <c r="H22" s="160">
        <v>32</v>
      </c>
      <c r="I22" s="161" t="s">
        <v>10</v>
      </c>
      <c r="J22" s="162"/>
      <c r="L22" s="164">
        <f t="shared" si="2"/>
        <v>1.21</v>
      </c>
      <c r="M22" s="165">
        <f t="shared" si="3"/>
        <v>21.9</v>
      </c>
    </row>
    <row r="23" spans="2:13" s="163" customFormat="1" ht="30" customHeight="1">
      <c r="B23" s="64">
        <v>18</v>
      </c>
      <c r="C23" s="121" t="s">
        <v>209</v>
      </c>
      <c r="D23" s="114">
        <v>43664</v>
      </c>
      <c r="E23" s="115" t="s">
        <v>11</v>
      </c>
      <c r="F23" s="160">
        <v>116</v>
      </c>
      <c r="G23" s="144" t="s">
        <v>9</v>
      </c>
      <c r="H23" s="160">
        <v>24</v>
      </c>
      <c r="I23" s="161" t="s">
        <v>25</v>
      </c>
      <c r="J23" s="162"/>
      <c r="L23" s="164">
        <f t="shared" si="2"/>
        <v>1.1599999999999999</v>
      </c>
      <c r="M23" s="165">
        <f t="shared" si="3"/>
        <v>17.8</v>
      </c>
    </row>
    <row r="24" spans="2:13" s="145" customFormat="1" ht="30" customHeight="1">
      <c r="B24" s="10">
        <v>19</v>
      </c>
      <c r="C24" s="129" t="s">
        <v>84</v>
      </c>
      <c r="D24" s="130">
        <v>43678</v>
      </c>
      <c r="E24" s="131" t="s">
        <v>8</v>
      </c>
      <c r="F24" s="143">
        <v>112</v>
      </c>
      <c r="G24" s="144" t="s">
        <v>9</v>
      </c>
      <c r="H24" s="143">
        <v>18</v>
      </c>
      <c r="I24" s="144" t="s">
        <v>9</v>
      </c>
      <c r="J24" s="85"/>
      <c r="L24" s="86">
        <f t="shared" si="2"/>
        <v>1.1200000000000001</v>
      </c>
      <c r="M24" s="146">
        <f t="shared" si="3"/>
        <v>14.3</v>
      </c>
    </row>
    <row r="25" spans="2:13" s="145" customFormat="1" ht="30" customHeight="1">
      <c r="B25" s="10">
        <v>20</v>
      </c>
      <c r="C25" s="129" t="s">
        <v>198</v>
      </c>
      <c r="D25" s="130">
        <v>43690</v>
      </c>
      <c r="E25" s="131" t="s">
        <v>11</v>
      </c>
      <c r="F25" s="144">
        <v>110</v>
      </c>
      <c r="G25" s="144" t="s">
        <v>9</v>
      </c>
      <c r="H25" s="144">
        <v>17</v>
      </c>
      <c r="I25" s="144" t="s">
        <v>9</v>
      </c>
      <c r="J25" s="85"/>
      <c r="L25" s="86">
        <f t="shared" si="2"/>
        <v>1.1000000000000001</v>
      </c>
      <c r="M25" s="146">
        <f t="shared" si="3"/>
        <v>14</v>
      </c>
    </row>
    <row r="26" spans="2:13" s="145" customFormat="1" ht="30" customHeight="1">
      <c r="B26" s="10">
        <v>21</v>
      </c>
      <c r="C26" s="129" t="s">
        <v>196</v>
      </c>
      <c r="D26" s="130">
        <v>43691</v>
      </c>
      <c r="E26" s="131" t="s">
        <v>8</v>
      </c>
      <c r="F26" s="143">
        <v>112</v>
      </c>
      <c r="G26" s="144" t="s">
        <v>9</v>
      </c>
      <c r="H26" s="143">
        <v>21</v>
      </c>
      <c r="I26" s="144" t="s">
        <v>9</v>
      </c>
      <c r="J26" s="85"/>
      <c r="L26" s="86">
        <f t="shared" si="2"/>
        <v>1.1200000000000001</v>
      </c>
      <c r="M26" s="146">
        <f t="shared" si="3"/>
        <v>16.7</v>
      </c>
    </row>
    <row r="27" spans="2:13" s="163" customFormat="1" ht="30" customHeight="1">
      <c r="B27" s="64">
        <v>22</v>
      </c>
      <c r="C27" s="121" t="s">
        <v>200</v>
      </c>
      <c r="D27" s="114">
        <v>43691</v>
      </c>
      <c r="E27" s="115" t="s">
        <v>11</v>
      </c>
      <c r="F27" s="160">
        <v>108</v>
      </c>
      <c r="G27" s="144" t="s">
        <v>9</v>
      </c>
      <c r="H27" s="160">
        <v>18</v>
      </c>
      <c r="I27" s="161" t="s">
        <v>9</v>
      </c>
      <c r="J27" s="162"/>
      <c r="L27" s="164">
        <f t="shared" si="2"/>
        <v>1.08</v>
      </c>
      <c r="M27" s="165">
        <f t="shared" si="3"/>
        <v>15.4</v>
      </c>
    </row>
    <row r="28" spans="2:13" s="145" customFormat="1" ht="30" customHeight="1">
      <c r="B28" s="10">
        <v>23</v>
      </c>
      <c r="C28" s="129" t="s">
        <v>86</v>
      </c>
      <c r="D28" s="130">
        <v>43693</v>
      </c>
      <c r="E28" s="131" t="s">
        <v>8</v>
      </c>
      <c r="F28" s="143">
        <v>118</v>
      </c>
      <c r="G28" s="144" t="s">
        <v>9</v>
      </c>
      <c r="H28" s="143">
        <v>23</v>
      </c>
      <c r="I28" s="144" t="s">
        <v>9</v>
      </c>
      <c r="J28" s="85"/>
      <c r="L28" s="86">
        <f t="shared" si="2"/>
        <v>1.18</v>
      </c>
      <c r="M28" s="146">
        <f t="shared" si="3"/>
        <v>16.5</v>
      </c>
    </row>
    <row r="29" spans="2:13" s="145" customFormat="1" ht="30" customHeight="1">
      <c r="B29" s="10">
        <v>24</v>
      </c>
      <c r="C29" s="129" t="s">
        <v>93</v>
      </c>
      <c r="D29" s="130">
        <v>43701</v>
      </c>
      <c r="E29" s="131" t="s">
        <v>11</v>
      </c>
      <c r="F29" s="143">
        <v>111</v>
      </c>
      <c r="G29" s="144" t="s">
        <v>9</v>
      </c>
      <c r="H29" s="143">
        <v>19</v>
      </c>
      <c r="I29" s="144" t="s">
        <v>9</v>
      </c>
      <c r="J29" s="85"/>
      <c r="L29" s="86">
        <f t="shared" si="2"/>
        <v>1.1100000000000001</v>
      </c>
      <c r="M29" s="146">
        <f t="shared" si="3"/>
        <v>15.4</v>
      </c>
    </row>
    <row r="30" spans="2:13" s="163" customFormat="1" ht="30" customHeight="1">
      <c r="B30" s="64">
        <v>25</v>
      </c>
      <c r="C30" s="161" t="s">
        <v>273</v>
      </c>
      <c r="D30" s="166">
        <v>43701</v>
      </c>
      <c r="E30" s="161" t="s">
        <v>8</v>
      </c>
      <c r="F30" s="160">
        <v>116</v>
      </c>
      <c r="G30" s="144" t="s">
        <v>9</v>
      </c>
      <c r="H30" s="160">
        <v>24</v>
      </c>
      <c r="I30" s="161" t="s">
        <v>25</v>
      </c>
      <c r="J30" s="162"/>
      <c r="L30" s="164">
        <f t="shared" si="2"/>
        <v>1.1599999999999999</v>
      </c>
      <c r="M30" s="165">
        <f t="shared" si="3"/>
        <v>17.8</v>
      </c>
    </row>
    <row r="31" spans="2:13" s="163" customFormat="1" ht="30" customHeight="1">
      <c r="B31" s="64">
        <v>26</v>
      </c>
      <c r="C31" s="121" t="s">
        <v>201</v>
      </c>
      <c r="D31" s="114">
        <v>43745</v>
      </c>
      <c r="E31" s="115" t="s">
        <v>11</v>
      </c>
      <c r="F31" s="160">
        <v>109</v>
      </c>
      <c r="G31" s="144" t="s">
        <v>9</v>
      </c>
      <c r="H31" s="160">
        <v>17</v>
      </c>
      <c r="I31" s="161" t="s">
        <v>9</v>
      </c>
      <c r="J31" s="162"/>
      <c r="L31" s="164">
        <f t="shared" ref="L31:L38" si="4">CONVERT(F31,"cm","m")</f>
        <v>1.0900000000000001</v>
      </c>
      <c r="M31" s="165">
        <f t="shared" ref="M31:M38" si="5">ROUND(H31/(L31*L31),1)</f>
        <v>14.3</v>
      </c>
    </row>
    <row r="32" spans="2:13" s="145" customFormat="1" ht="30" customHeight="1">
      <c r="B32" s="10">
        <v>27</v>
      </c>
      <c r="C32" s="129" t="s">
        <v>212</v>
      </c>
      <c r="D32" s="130">
        <v>43761</v>
      </c>
      <c r="E32" s="131" t="s">
        <v>8</v>
      </c>
      <c r="F32" s="143">
        <v>102</v>
      </c>
      <c r="G32" s="144" t="s">
        <v>9</v>
      </c>
      <c r="H32" s="143">
        <v>15</v>
      </c>
      <c r="I32" s="144" t="s">
        <v>9</v>
      </c>
      <c r="J32" s="85"/>
      <c r="L32" s="86">
        <f t="shared" si="4"/>
        <v>1.02</v>
      </c>
      <c r="M32" s="146">
        <f t="shared" si="5"/>
        <v>14.4</v>
      </c>
    </row>
    <row r="33" spans="2:14" s="145" customFormat="1" ht="30" customHeight="1">
      <c r="B33" s="10">
        <v>28</v>
      </c>
      <c r="C33" s="129" t="s">
        <v>210</v>
      </c>
      <c r="D33" s="130">
        <v>43783</v>
      </c>
      <c r="E33" s="131" t="s">
        <v>11</v>
      </c>
      <c r="F33" s="143">
        <v>111</v>
      </c>
      <c r="G33" s="144" t="s">
        <v>9</v>
      </c>
      <c r="H33" s="143">
        <v>17</v>
      </c>
      <c r="I33" s="144" t="s">
        <v>9</v>
      </c>
      <c r="J33" s="85"/>
      <c r="L33" s="86">
        <f t="shared" si="4"/>
        <v>1.1100000000000001</v>
      </c>
      <c r="M33" s="146">
        <f t="shared" si="5"/>
        <v>13.8</v>
      </c>
    </row>
    <row r="34" spans="2:14" s="145" customFormat="1" ht="30" customHeight="1">
      <c r="B34" s="10">
        <v>29</v>
      </c>
      <c r="C34" s="129" t="s">
        <v>204</v>
      </c>
      <c r="D34" s="130">
        <v>43789</v>
      </c>
      <c r="E34" s="131" t="s">
        <v>11</v>
      </c>
      <c r="F34" s="143">
        <v>112</v>
      </c>
      <c r="G34" s="144" t="s">
        <v>9</v>
      </c>
      <c r="H34" s="143">
        <v>20</v>
      </c>
      <c r="I34" s="144" t="s">
        <v>9</v>
      </c>
      <c r="J34" s="85"/>
      <c r="L34" s="86">
        <f t="shared" si="4"/>
        <v>1.1200000000000001</v>
      </c>
      <c r="M34" s="146">
        <f t="shared" si="5"/>
        <v>15.9</v>
      </c>
    </row>
    <row r="35" spans="2:14" s="145" customFormat="1" ht="30" customHeight="1">
      <c r="B35" s="10">
        <v>30</v>
      </c>
      <c r="C35" s="129" t="s">
        <v>203</v>
      </c>
      <c r="D35" s="130">
        <v>43796</v>
      </c>
      <c r="E35" s="131" t="s">
        <v>11</v>
      </c>
      <c r="F35" s="143">
        <v>107</v>
      </c>
      <c r="G35" s="144" t="s">
        <v>9</v>
      </c>
      <c r="H35" s="143">
        <v>16</v>
      </c>
      <c r="I35" s="144" t="s">
        <v>9</v>
      </c>
      <c r="J35" s="85"/>
      <c r="L35" s="86">
        <f t="shared" si="4"/>
        <v>1.07</v>
      </c>
      <c r="M35" s="146">
        <f t="shared" si="5"/>
        <v>14</v>
      </c>
      <c r="N35" s="93"/>
    </row>
    <row r="36" spans="2:14" s="145" customFormat="1" ht="30" customHeight="1">
      <c r="B36" s="10">
        <v>31</v>
      </c>
      <c r="C36" s="148" t="s">
        <v>202</v>
      </c>
      <c r="D36" s="130">
        <v>43800</v>
      </c>
      <c r="E36" s="131" t="s">
        <v>11</v>
      </c>
      <c r="F36" s="143">
        <v>115</v>
      </c>
      <c r="G36" s="144" t="s">
        <v>9</v>
      </c>
      <c r="H36" s="143">
        <v>22</v>
      </c>
      <c r="I36" s="144" t="s">
        <v>9</v>
      </c>
      <c r="J36" s="85"/>
      <c r="L36" s="86">
        <f t="shared" si="4"/>
        <v>1.1499999999999999</v>
      </c>
      <c r="M36" s="146">
        <f t="shared" si="5"/>
        <v>16.600000000000001</v>
      </c>
    </row>
    <row r="37" spans="2:14" s="145" customFormat="1" ht="30" customHeight="1">
      <c r="B37" s="10">
        <v>32</v>
      </c>
      <c r="C37" s="129" t="s">
        <v>192</v>
      </c>
      <c r="D37" s="130">
        <v>43811</v>
      </c>
      <c r="E37" s="131" t="s">
        <v>8</v>
      </c>
      <c r="F37" s="143">
        <v>108</v>
      </c>
      <c r="G37" s="144" t="s">
        <v>9</v>
      </c>
      <c r="H37" s="143">
        <v>18</v>
      </c>
      <c r="I37" s="144" t="s">
        <v>9</v>
      </c>
      <c r="J37" s="85"/>
      <c r="L37" s="86">
        <f t="shared" si="4"/>
        <v>1.08</v>
      </c>
      <c r="M37" s="146">
        <f t="shared" si="5"/>
        <v>15.4</v>
      </c>
    </row>
    <row r="38" spans="2:14" s="145" customFormat="1" ht="30" customHeight="1">
      <c r="B38" s="10">
        <v>33</v>
      </c>
      <c r="C38" s="129" t="s">
        <v>49</v>
      </c>
      <c r="D38" s="130">
        <v>43814</v>
      </c>
      <c r="E38" s="131" t="s">
        <v>8</v>
      </c>
      <c r="F38" s="143">
        <v>112</v>
      </c>
      <c r="G38" s="144" t="s">
        <v>9</v>
      </c>
      <c r="H38" s="143">
        <v>33</v>
      </c>
      <c r="I38" s="144" t="s">
        <v>10</v>
      </c>
      <c r="J38" s="85"/>
      <c r="L38" s="86">
        <f t="shared" si="4"/>
        <v>1.1200000000000001</v>
      </c>
      <c r="M38" s="146">
        <f t="shared" si="5"/>
        <v>26.3</v>
      </c>
    </row>
    <row r="39" spans="2:14" ht="18.75">
      <c r="B39" s="224" t="s">
        <v>275</v>
      </c>
      <c r="C39" s="224"/>
      <c r="D39" s="224"/>
      <c r="E39" s="224"/>
      <c r="F39" s="224"/>
      <c r="G39" s="224"/>
      <c r="H39" s="224"/>
      <c r="I39" s="224"/>
      <c r="J39" s="224"/>
      <c r="K39" s="4"/>
      <c r="L39" s="89"/>
      <c r="N39">
        <f>33-22</f>
        <v>11</v>
      </c>
    </row>
    <row r="40" spans="2:14" ht="18.75">
      <c r="B40" s="204" t="s">
        <v>14</v>
      </c>
      <c r="C40" s="204"/>
      <c r="D40" s="204"/>
      <c r="E40" s="204"/>
      <c r="F40" s="204"/>
      <c r="G40" s="204"/>
      <c r="H40" s="204"/>
      <c r="I40" s="7"/>
      <c r="J40" s="7"/>
      <c r="K40" s="8"/>
    </row>
    <row r="41" spans="2:14" ht="18.75">
      <c r="B41" s="79"/>
      <c r="C41" s="205" t="s">
        <v>15</v>
      </c>
      <c r="D41" s="107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4" ht="31.5">
      <c r="B42" s="87"/>
      <c r="C42" s="206"/>
      <c r="D42" s="107" t="s">
        <v>9</v>
      </c>
      <c r="E42" s="10">
        <f>COUNTIFS($G$6:$G$38,"BT",$E$6:$E$38,"Nam")</f>
        <v>17</v>
      </c>
      <c r="F42" s="10">
        <f>COUNTIFS($G$6:$G$38,"BT",$E$6:$E$38,"Nữ")</f>
        <v>16</v>
      </c>
      <c r="G42" s="10">
        <f>SUM(E42:F42)</f>
        <v>33</v>
      </c>
      <c r="H42" s="10">
        <f>ROUND((G42/33*100),1)</f>
        <v>100</v>
      </c>
      <c r="I42" s="14"/>
      <c r="J42" s="15" t="s">
        <v>9</v>
      </c>
      <c r="K42" s="16" t="s">
        <v>19</v>
      </c>
    </row>
    <row r="43" spans="2:14" ht="47.25">
      <c r="B43" s="87"/>
      <c r="C43" s="206"/>
      <c r="D43" s="107" t="s">
        <v>20</v>
      </c>
      <c r="E43" s="10">
        <f>COUNTIFS($G$6:$G$38,"TC.N",$E$6:$E$38,"Nam")</f>
        <v>0</v>
      </c>
      <c r="F43" s="10">
        <f>COUNTIFS($G$6:$G$38,"TC.N",$E$6:$E$38,"Nữ")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4" ht="18.75">
      <c r="B44" s="87"/>
      <c r="C44" s="207"/>
      <c r="D44" s="107" t="s">
        <v>12</v>
      </c>
      <c r="E44" s="10">
        <f>COUNTIFS($G$6:$G$38,"TC",$E$6:$E$38,"Nam")</f>
        <v>0</v>
      </c>
      <c r="F44" s="10">
        <f>COUNTIFS($G$6:$G$38,"TC",$E$6:$E$38,"Nữ")</f>
        <v>0</v>
      </c>
      <c r="G44" s="10">
        <f>SUM(E44:F44)</f>
        <v>0</v>
      </c>
      <c r="H44" s="10">
        <f>ROUND((G44/34*100),1)</f>
        <v>0</v>
      </c>
      <c r="I44" s="14"/>
      <c r="J44" s="15" t="s">
        <v>12</v>
      </c>
      <c r="K44" s="16" t="s">
        <v>22</v>
      </c>
    </row>
    <row r="45" spans="2:14" ht="18.75">
      <c r="B45" s="87"/>
      <c r="C45" s="17" t="s">
        <v>16</v>
      </c>
      <c r="D45" s="107"/>
      <c r="E45" s="18">
        <f>SUM(E42:E44)</f>
        <v>17</v>
      </c>
      <c r="F45" s="18">
        <f>SUM(F42:F44)</f>
        <v>16</v>
      </c>
      <c r="G45" s="18">
        <f>SUM(G42:G44)</f>
        <v>33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4" ht="18.75">
      <c r="B46" s="87"/>
      <c r="C46" s="208" t="s">
        <v>24</v>
      </c>
      <c r="D46" s="107" t="s">
        <v>9</v>
      </c>
      <c r="E46" s="18">
        <f>COUNTIFS($I$6:$I$38,"BT",$E$6:$E$38,"Nam")</f>
        <v>13</v>
      </c>
      <c r="F46" s="18">
        <f>COUNTIFS($I$6:$I$38,"BT",$E$6:$E$38,"Nữ")</f>
        <v>13</v>
      </c>
      <c r="G46" s="18">
        <f t="shared" ref="G46:G52" si="6">SUM(E46:F46)</f>
        <v>26</v>
      </c>
      <c r="H46" s="18">
        <f>ROUND((G46/33*100),1)</f>
        <v>78.8</v>
      </c>
      <c r="I46" s="19"/>
      <c r="J46" s="20" t="s">
        <v>25</v>
      </c>
      <c r="K46" s="16" t="s">
        <v>26</v>
      </c>
    </row>
    <row r="47" spans="2:14" ht="47.25">
      <c r="B47" s="87"/>
      <c r="C47" s="209"/>
      <c r="D47" s="107" t="s">
        <v>10</v>
      </c>
      <c r="E47" s="18">
        <f>COUNTIFS($I$6:$I$38,"BP",$E$6:$E$38,"Nam")</f>
        <v>2</v>
      </c>
      <c r="F47" s="18">
        <f>COUNTIFS($I$6:$I$38,"BP",$E$6:$E$38,"Nữ")</f>
        <v>1</v>
      </c>
      <c r="G47" s="18">
        <f t="shared" si="6"/>
        <v>3</v>
      </c>
      <c r="H47" s="18">
        <f>ROUND((G47/33*100),1)</f>
        <v>9.1</v>
      </c>
      <c r="I47" s="19"/>
      <c r="J47" s="21" t="s">
        <v>27</v>
      </c>
      <c r="K47" s="16" t="s">
        <v>28</v>
      </c>
    </row>
    <row r="48" spans="2:14" ht="18.75">
      <c r="B48" s="87"/>
      <c r="C48" s="209"/>
      <c r="D48" s="107" t="s">
        <v>25</v>
      </c>
      <c r="E48" s="18">
        <f>COUNTIFS($I$6:$I$38,"Th.C",$E$6:$E$38,"Nam")</f>
        <v>2</v>
      </c>
      <c r="F48" s="18">
        <f>COUNTIFS($I$6:$I$38,"Th.C",$E$6:$E$38,"Nữ")</f>
        <v>2</v>
      </c>
      <c r="G48" s="18">
        <f t="shared" si="6"/>
        <v>4</v>
      </c>
      <c r="H48" s="18">
        <f>ROUND((G48/33*100),1)</f>
        <v>12.1</v>
      </c>
      <c r="I48" s="19"/>
      <c r="J48" s="22" t="s">
        <v>13</v>
      </c>
      <c r="K48" s="15" t="s">
        <v>29</v>
      </c>
    </row>
    <row r="49" spans="2:11" ht="18.75">
      <c r="B49" s="87"/>
      <c r="C49" s="209"/>
      <c r="D49" s="107" t="s">
        <v>27</v>
      </c>
      <c r="E49" s="18">
        <f>COUNTIFS($I$6:$I$38,"NC.N",$E$6:$E$38,"Nam")</f>
        <v>0</v>
      </c>
      <c r="F49" s="18">
        <f>COUNTIFS($I$6:$I$38,"NC.N",$E$6:$E$38,"Nữ")</f>
        <v>0</v>
      </c>
      <c r="G49" s="18">
        <f t="shared" si="6"/>
        <v>0</v>
      </c>
      <c r="H49" s="18">
        <f>ROUND((G49/34*100),1)</f>
        <v>0</v>
      </c>
      <c r="I49" s="19"/>
      <c r="J49" s="22" t="s">
        <v>30</v>
      </c>
      <c r="K49" s="23" t="s">
        <v>31</v>
      </c>
    </row>
    <row r="50" spans="2:11" ht="47.25">
      <c r="B50" s="87"/>
      <c r="C50" s="209"/>
      <c r="D50" s="107" t="s">
        <v>13</v>
      </c>
      <c r="E50" s="18">
        <f>COUNTIFS($I$6:$I$38,"NC",$E$6:$E$38,"Nam")</f>
        <v>0</v>
      </c>
      <c r="F50" s="18">
        <f>COUNTIFS($I$6:$I$38,"NC",$E$6:$E$38,"Nữ")</f>
        <v>0</v>
      </c>
      <c r="G50" s="18">
        <f t="shared" si="6"/>
        <v>0</v>
      </c>
      <c r="H50" s="18">
        <f>ROUND((G50/33*100),1)</f>
        <v>0</v>
      </c>
      <c r="I50" s="19"/>
      <c r="J50" s="24" t="s">
        <v>32</v>
      </c>
      <c r="K50" s="16" t="s">
        <v>33</v>
      </c>
    </row>
    <row r="51" spans="2:11" ht="18.75">
      <c r="B51" s="87"/>
      <c r="C51" s="209"/>
      <c r="D51" s="107" t="s">
        <v>30</v>
      </c>
      <c r="E51" s="18">
        <f>COUNTIFS($I$6:$I$38,"GC",$E$6:$E$38,"Nam")</f>
        <v>0</v>
      </c>
      <c r="F51" s="18">
        <f>COUNTIFS($I$6:$I$38,"GC",$E$6:$E$38,"Nữ")</f>
        <v>0</v>
      </c>
      <c r="G51" s="18">
        <f t="shared" si="6"/>
        <v>0</v>
      </c>
      <c r="H51" s="18">
        <f>ROUND((G51/38*100),1)</f>
        <v>0</v>
      </c>
      <c r="I51" s="19"/>
      <c r="J51" s="25"/>
    </row>
    <row r="52" spans="2:11" ht="18.75">
      <c r="B52" s="78"/>
      <c r="C52" s="210"/>
      <c r="D52" s="107" t="s">
        <v>32</v>
      </c>
      <c r="E52" s="18">
        <f>COUNTIFS($I$6:$I$38,"GC.N",$E$6:$E$38,"Nam")</f>
        <v>0</v>
      </c>
      <c r="F52" s="18">
        <f>COUNTIFS($I$6:$I$38,"GC.N",$E$6:$E$38,"Nữ")</f>
        <v>0</v>
      </c>
      <c r="G52" s="18">
        <f t="shared" si="6"/>
        <v>0</v>
      </c>
      <c r="H52" s="18">
        <f>ROUND((G52/34*100),1)</f>
        <v>0</v>
      </c>
      <c r="I52" s="19"/>
      <c r="J52" s="25"/>
    </row>
    <row r="53" spans="2:11" ht="18.75">
      <c r="B53" s="78"/>
      <c r="C53" s="17" t="s">
        <v>16</v>
      </c>
      <c r="D53" s="107"/>
      <c r="E53" s="28">
        <f>SUM(E46:E52)</f>
        <v>17</v>
      </c>
      <c r="F53" s="28">
        <f>SUM(F46:F52)</f>
        <v>16</v>
      </c>
      <c r="G53" s="28">
        <f>SUM(G46:G52)</f>
        <v>33</v>
      </c>
      <c r="H53" s="28">
        <f>SUM(H46:H52)</f>
        <v>99.999999999999986</v>
      </c>
      <c r="I53" s="29"/>
      <c r="J53" s="78"/>
      <c r="K53" s="26"/>
    </row>
    <row r="54" spans="2:11" ht="18.75">
      <c r="B54" s="78"/>
      <c r="C54" s="26"/>
      <c r="G54" s="60"/>
      <c r="H54" s="61"/>
      <c r="I54" s="77" t="s">
        <v>289</v>
      </c>
      <c r="J54" s="77"/>
      <c r="K54" s="77"/>
    </row>
    <row r="55" spans="2:11" ht="15.75">
      <c r="B55" s="80"/>
      <c r="C55" s="32"/>
      <c r="G55" s="31"/>
      <c r="H55" s="33"/>
      <c r="I55" s="80" t="s">
        <v>34</v>
      </c>
      <c r="J55" s="80"/>
      <c r="K55" s="80"/>
    </row>
    <row r="56" spans="2:11" ht="15.75">
      <c r="B56" s="80"/>
      <c r="C56" s="32"/>
      <c r="D56" s="108"/>
      <c r="E56" s="33"/>
      <c r="F56" s="32"/>
      <c r="G56" s="33"/>
      <c r="H56" s="225" t="s">
        <v>116</v>
      </c>
      <c r="I56" s="225"/>
      <c r="J56" s="225"/>
      <c r="K56" s="5"/>
    </row>
    <row r="57" spans="2:11" ht="15.75">
      <c r="B57" s="80"/>
      <c r="C57" s="32"/>
      <c r="D57" s="108"/>
      <c r="E57" s="33"/>
      <c r="F57" s="32"/>
      <c r="G57" s="33"/>
      <c r="H57" s="225" t="s">
        <v>44</v>
      </c>
      <c r="I57" s="225"/>
      <c r="J57" s="225"/>
      <c r="K57" s="80"/>
    </row>
  </sheetData>
  <sortState ref="C6:E38">
    <sortCondition ref="D6:D38"/>
  </sortState>
  <mergeCells count="17">
    <mergeCell ref="H56:J56"/>
    <mergeCell ref="H57:J57"/>
    <mergeCell ref="B40:H40"/>
    <mergeCell ref="C41:C44"/>
    <mergeCell ref="C46:C52"/>
    <mergeCell ref="B39:J39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4:D35"/>
  </dataValidations>
  <pageMargins left="0.39" right="0.24" top="0.59" bottom="0.62" header="0.33" footer="0.3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6"/>
  <sheetViews>
    <sheetView topLeftCell="A40" workbookViewId="0">
      <selection activeCell="I54" sqref="I54"/>
    </sheetView>
  </sheetViews>
  <sheetFormatPr defaultRowHeight="15"/>
  <cols>
    <col min="1" max="1" width="5.7109375" customWidth="1"/>
    <col min="2" max="2" width="5.42578125" customWidth="1"/>
    <col min="3" max="3" width="21.42578125" customWidth="1"/>
    <col min="4" max="4" width="8.140625" style="105" customWidth="1"/>
    <col min="5" max="5" width="7.42578125" customWidth="1"/>
    <col min="6" max="6" width="8" customWidth="1"/>
    <col min="7" max="7" width="7.28515625" customWidth="1"/>
    <col min="8" max="9" width="7.5703125" customWidth="1"/>
  </cols>
  <sheetData>
    <row r="1" spans="1:13" ht="20.25">
      <c r="B1" s="211" t="s">
        <v>47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1:13" ht="18.75">
      <c r="B2" s="204" t="s">
        <v>48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1:13" ht="20.25" customHeight="1">
      <c r="B3" s="212" t="s">
        <v>0</v>
      </c>
      <c r="C3" s="212" t="s">
        <v>1</v>
      </c>
      <c r="D3" s="215" t="s">
        <v>2</v>
      </c>
      <c r="E3" s="218" t="s">
        <v>3</v>
      </c>
      <c r="F3" s="219" t="s">
        <v>4</v>
      </c>
      <c r="G3" s="218" t="s">
        <v>5</v>
      </c>
      <c r="H3" s="219" t="s">
        <v>6</v>
      </c>
      <c r="I3" s="218" t="s">
        <v>5</v>
      </c>
      <c r="J3" s="222" t="s">
        <v>7</v>
      </c>
      <c r="K3" s="1"/>
      <c r="L3" s="46"/>
      <c r="M3" s="46"/>
    </row>
    <row r="4" spans="1:13" ht="18.75">
      <c r="B4" s="213"/>
      <c r="C4" s="213"/>
      <c r="D4" s="216"/>
      <c r="E4" s="213"/>
      <c r="F4" s="220"/>
      <c r="G4" s="213"/>
      <c r="H4" s="220"/>
      <c r="I4" s="213"/>
      <c r="J4" s="223"/>
      <c r="K4" s="2"/>
      <c r="L4" s="46"/>
      <c r="M4" s="46"/>
    </row>
    <row r="5" spans="1:13" ht="18">
      <c r="B5" s="214"/>
      <c r="C5" s="214"/>
      <c r="D5" s="217"/>
      <c r="E5" s="214"/>
      <c r="F5" s="221"/>
      <c r="G5" s="214"/>
      <c r="H5" s="221"/>
      <c r="I5" s="214"/>
      <c r="J5" s="223"/>
      <c r="K5" s="3"/>
      <c r="L5" s="47"/>
      <c r="M5" s="46"/>
    </row>
    <row r="6" spans="1:13" s="133" customFormat="1" ht="30" customHeight="1">
      <c r="B6" s="10">
        <v>1</v>
      </c>
      <c r="C6" s="134" t="s">
        <v>103</v>
      </c>
      <c r="D6" s="135">
        <v>43468</v>
      </c>
      <c r="E6" s="136" t="s">
        <v>8</v>
      </c>
      <c r="F6" s="132">
        <v>121</v>
      </c>
      <c r="G6" s="10" t="s">
        <v>9</v>
      </c>
      <c r="H6" s="132">
        <v>21</v>
      </c>
      <c r="I6" s="10" t="s">
        <v>9</v>
      </c>
      <c r="J6" s="110"/>
      <c r="L6" s="137">
        <f t="shared" ref="L6:L37" si="0">CONVERT(F6,"cm","m")</f>
        <v>1.21</v>
      </c>
      <c r="M6" s="138">
        <f t="shared" ref="M6:M37" si="1">ROUND(H6/(L6*L6),1)</f>
        <v>14.3</v>
      </c>
    </row>
    <row r="7" spans="1:13" s="133" customFormat="1" ht="30" customHeight="1">
      <c r="A7" s="133" t="s">
        <v>285</v>
      </c>
      <c r="B7" s="10">
        <v>2</v>
      </c>
      <c r="C7" s="134" t="s">
        <v>219</v>
      </c>
      <c r="D7" s="135">
        <v>43482</v>
      </c>
      <c r="E7" s="136" t="s">
        <v>11</v>
      </c>
      <c r="F7" s="132">
        <v>118</v>
      </c>
      <c r="G7" s="10" t="s">
        <v>9</v>
      </c>
      <c r="H7" s="132">
        <v>23</v>
      </c>
      <c r="I7" s="10" t="s">
        <v>9</v>
      </c>
      <c r="J7" s="110"/>
      <c r="L7" s="137">
        <f t="shared" si="0"/>
        <v>1.18</v>
      </c>
      <c r="M7" s="138">
        <f t="shared" si="1"/>
        <v>16.5</v>
      </c>
    </row>
    <row r="8" spans="1:13" s="133" customFormat="1" ht="30" customHeight="1">
      <c r="B8" s="10">
        <v>3</v>
      </c>
      <c r="C8" s="134" t="s">
        <v>55</v>
      </c>
      <c r="D8" s="139">
        <v>43484</v>
      </c>
      <c r="E8" s="140" t="s">
        <v>11</v>
      </c>
      <c r="F8" s="132">
        <v>116</v>
      </c>
      <c r="G8" s="10" t="s">
        <v>9</v>
      </c>
      <c r="H8" s="132">
        <v>20</v>
      </c>
      <c r="I8" s="10" t="s">
        <v>9</v>
      </c>
      <c r="J8" s="110"/>
      <c r="L8" s="137">
        <f t="shared" si="0"/>
        <v>1.1599999999999999</v>
      </c>
      <c r="M8" s="138">
        <f t="shared" si="1"/>
        <v>14.9</v>
      </c>
    </row>
    <row r="9" spans="1:13" s="133" customFormat="1" ht="30" customHeight="1">
      <c r="B9" s="10">
        <v>4</v>
      </c>
      <c r="C9" s="134" t="s">
        <v>67</v>
      </c>
      <c r="D9" s="135">
        <v>43484</v>
      </c>
      <c r="E9" s="136" t="s">
        <v>11</v>
      </c>
      <c r="F9" s="132">
        <v>116</v>
      </c>
      <c r="G9" s="10" t="s">
        <v>9</v>
      </c>
      <c r="H9" s="132">
        <v>30</v>
      </c>
      <c r="I9" s="10" t="s">
        <v>10</v>
      </c>
      <c r="J9" s="110"/>
      <c r="L9" s="137">
        <f t="shared" si="0"/>
        <v>1.1599999999999999</v>
      </c>
      <c r="M9" s="138">
        <f t="shared" si="1"/>
        <v>22.3</v>
      </c>
    </row>
    <row r="10" spans="1:13" s="133" customFormat="1" ht="30" customHeight="1">
      <c r="B10" s="10">
        <v>5</v>
      </c>
      <c r="C10" s="134" t="s">
        <v>70</v>
      </c>
      <c r="D10" s="135">
        <v>43494</v>
      </c>
      <c r="E10" s="136" t="s">
        <v>8</v>
      </c>
      <c r="F10" s="132">
        <v>122</v>
      </c>
      <c r="G10" s="10" t="s">
        <v>9</v>
      </c>
      <c r="H10" s="132">
        <v>22</v>
      </c>
      <c r="I10" s="10" t="s">
        <v>9</v>
      </c>
      <c r="J10" s="110"/>
      <c r="L10" s="137">
        <f t="shared" si="0"/>
        <v>1.22</v>
      </c>
      <c r="M10" s="138">
        <f t="shared" si="1"/>
        <v>14.8</v>
      </c>
    </row>
    <row r="11" spans="1:13" s="133" customFormat="1" ht="30" customHeight="1">
      <c r="B11" s="10">
        <v>6</v>
      </c>
      <c r="C11" s="134" t="s">
        <v>226</v>
      </c>
      <c r="D11" s="135">
        <v>43498</v>
      </c>
      <c r="E11" s="136" t="s">
        <v>8</v>
      </c>
      <c r="F11" s="125">
        <v>123</v>
      </c>
      <c r="G11" s="10" t="s">
        <v>9</v>
      </c>
      <c r="H11" s="132">
        <v>33</v>
      </c>
      <c r="I11" s="10" t="s">
        <v>10</v>
      </c>
      <c r="J11" s="110"/>
      <c r="L11" s="137">
        <f t="shared" si="0"/>
        <v>1.23</v>
      </c>
      <c r="M11" s="138">
        <f t="shared" si="1"/>
        <v>21.8</v>
      </c>
    </row>
    <row r="12" spans="1:13" s="133" customFormat="1" ht="30" customHeight="1">
      <c r="B12" s="10">
        <v>7</v>
      </c>
      <c r="C12" s="134" t="s">
        <v>217</v>
      </c>
      <c r="D12" s="135">
        <v>43500</v>
      </c>
      <c r="E12" s="136" t="s">
        <v>8</v>
      </c>
      <c r="F12" s="132">
        <v>115</v>
      </c>
      <c r="G12" s="10" t="s">
        <v>9</v>
      </c>
      <c r="H12" s="132">
        <v>22</v>
      </c>
      <c r="I12" s="10" t="s">
        <v>9</v>
      </c>
      <c r="J12" s="110"/>
      <c r="L12" s="137">
        <f t="shared" si="0"/>
        <v>1.1499999999999999</v>
      </c>
      <c r="M12" s="138">
        <f t="shared" si="1"/>
        <v>16.600000000000001</v>
      </c>
    </row>
    <row r="13" spans="1:13" s="133" customFormat="1" ht="30" customHeight="1">
      <c r="B13" s="10">
        <v>8</v>
      </c>
      <c r="C13" s="134" t="s">
        <v>88</v>
      </c>
      <c r="D13" s="135">
        <v>43515</v>
      </c>
      <c r="E13" s="136" t="s">
        <v>8</v>
      </c>
      <c r="F13" s="132">
        <v>116</v>
      </c>
      <c r="G13" s="10" t="s">
        <v>9</v>
      </c>
      <c r="H13" s="132">
        <v>22</v>
      </c>
      <c r="I13" s="10" t="s">
        <v>9</v>
      </c>
      <c r="J13" s="110"/>
      <c r="L13" s="137">
        <f t="shared" si="0"/>
        <v>1.1599999999999999</v>
      </c>
      <c r="M13" s="138">
        <f t="shared" si="1"/>
        <v>16.3</v>
      </c>
    </row>
    <row r="14" spans="1:13" s="133" customFormat="1" ht="30" customHeight="1">
      <c r="B14" s="10">
        <v>9</v>
      </c>
      <c r="C14" s="134" t="s">
        <v>225</v>
      </c>
      <c r="D14" s="135">
        <v>43516</v>
      </c>
      <c r="E14" s="136" t="s">
        <v>11</v>
      </c>
      <c r="F14" s="132">
        <v>115</v>
      </c>
      <c r="G14" s="10" t="s">
        <v>9</v>
      </c>
      <c r="H14" s="132">
        <v>22</v>
      </c>
      <c r="I14" s="10" t="s">
        <v>9</v>
      </c>
      <c r="J14" s="110"/>
      <c r="L14" s="137">
        <f t="shared" si="0"/>
        <v>1.1499999999999999</v>
      </c>
      <c r="M14" s="138">
        <f t="shared" si="1"/>
        <v>16.600000000000001</v>
      </c>
    </row>
    <row r="15" spans="1:13" s="133" customFormat="1" ht="30" customHeight="1">
      <c r="B15" s="10">
        <v>10</v>
      </c>
      <c r="C15" s="134" t="s">
        <v>76</v>
      </c>
      <c r="D15" s="135">
        <v>43519</v>
      </c>
      <c r="E15" s="136" t="s">
        <v>11</v>
      </c>
      <c r="F15" s="132">
        <v>115</v>
      </c>
      <c r="G15" s="10" t="s">
        <v>9</v>
      </c>
      <c r="H15" s="132">
        <v>24</v>
      </c>
      <c r="I15" s="10" t="s">
        <v>25</v>
      </c>
      <c r="J15" s="110"/>
      <c r="L15" s="137">
        <f t="shared" si="0"/>
        <v>1.1499999999999999</v>
      </c>
      <c r="M15" s="138">
        <f t="shared" si="1"/>
        <v>18.100000000000001</v>
      </c>
    </row>
    <row r="16" spans="1:13" s="168" customFormat="1" ht="30" customHeight="1">
      <c r="B16" s="64">
        <v>11</v>
      </c>
      <c r="C16" s="169" t="s">
        <v>63</v>
      </c>
      <c r="D16" s="170">
        <v>43524</v>
      </c>
      <c r="E16" s="171" t="s">
        <v>11</v>
      </c>
      <c r="F16" s="67">
        <v>117</v>
      </c>
      <c r="G16" s="10" t="s">
        <v>9</v>
      </c>
      <c r="H16" s="67">
        <v>21</v>
      </c>
      <c r="I16" s="64" t="s">
        <v>9</v>
      </c>
      <c r="J16" s="172"/>
      <c r="L16" s="173">
        <f t="shared" si="0"/>
        <v>1.17</v>
      </c>
      <c r="M16" s="174">
        <f t="shared" si="1"/>
        <v>15.3</v>
      </c>
    </row>
    <row r="17" spans="2:14" s="133" customFormat="1" ht="30" customHeight="1">
      <c r="B17" s="10">
        <v>12</v>
      </c>
      <c r="C17" s="134" t="s">
        <v>69</v>
      </c>
      <c r="D17" s="135">
        <v>43530</v>
      </c>
      <c r="E17" s="136" t="s">
        <v>8</v>
      </c>
      <c r="F17" s="132">
        <v>117</v>
      </c>
      <c r="G17" s="10" t="s">
        <v>9</v>
      </c>
      <c r="H17" s="132">
        <v>24</v>
      </c>
      <c r="I17" s="10" t="s">
        <v>25</v>
      </c>
      <c r="J17" s="110"/>
      <c r="L17" s="137">
        <f t="shared" si="0"/>
        <v>1.17</v>
      </c>
      <c r="M17" s="138">
        <f t="shared" si="1"/>
        <v>17.5</v>
      </c>
    </row>
    <row r="18" spans="2:14" s="133" customFormat="1" ht="30" customHeight="1">
      <c r="B18" s="10">
        <v>13</v>
      </c>
      <c r="C18" s="134" t="s">
        <v>224</v>
      </c>
      <c r="D18" s="135">
        <v>43531</v>
      </c>
      <c r="E18" s="136" t="s">
        <v>11</v>
      </c>
      <c r="F18" s="132">
        <v>115</v>
      </c>
      <c r="G18" s="10" t="s">
        <v>9</v>
      </c>
      <c r="H18" s="132">
        <v>22</v>
      </c>
      <c r="I18" s="10" t="s">
        <v>9</v>
      </c>
      <c r="J18" s="110"/>
      <c r="L18" s="137">
        <f t="shared" si="0"/>
        <v>1.1499999999999999</v>
      </c>
      <c r="M18" s="138">
        <f t="shared" si="1"/>
        <v>16.600000000000001</v>
      </c>
    </row>
    <row r="19" spans="2:14" s="133" customFormat="1" ht="30" customHeight="1">
      <c r="B19" s="10">
        <v>14</v>
      </c>
      <c r="C19" s="134" t="s">
        <v>222</v>
      </c>
      <c r="D19" s="135">
        <v>43542</v>
      </c>
      <c r="E19" s="136" t="s">
        <v>11</v>
      </c>
      <c r="F19" s="132">
        <v>110</v>
      </c>
      <c r="G19" s="10" t="s">
        <v>9</v>
      </c>
      <c r="H19" s="132">
        <v>16</v>
      </c>
      <c r="I19" s="10" t="s">
        <v>9</v>
      </c>
      <c r="J19" s="110"/>
      <c r="L19" s="137">
        <f t="shared" si="0"/>
        <v>1.1000000000000001</v>
      </c>
      <c r="M19" s="138">
        <f t="shared" si="1"/>
        <v>13.2</v>
      </c>
    </row>
    <row r="20" spans="2:14" s="133" customFormat="1" ht="30" customHeight="1">
      <c r="B20" s="10">
        <v>15</v>
      </c>
      <c r="C20" s="134" t="s">
        <v>215</v>
      </c>
      <c r="D20" s="135">
        <v>43545</v>
      </c>
      <c r="E20" s="136" t="s">
        <v>8</v>
      </c>
      <c r="F20" s="132">
        <v>118</v>
      </c>
      <c r="G20" s="10" t="s">
        <v>9</v>
      </c>
      <c r="H20" s="132">
        <v>25</v>
      </c>
      <c r="I20" s="10" t="s">
        <v>25</v>
      </c>
      <c r="J20" s="110"/>
      <c r="L20" s="137">
        <f t="shared" si="0"/>
        <v>1.18</v>
      </c>
      <c r="M20" s="138">
        <f t="shared" si="1"/>
        <v>18</v>
      </c>
    </row>
    <row r="21" spans="2:14" s="168" customFormat="1" ht="30" customHeight="1">
      <c r="B21" s="64">
        <v>16</v>
      </c>
      <c r="C21" s="175" t="s">
        <v>268</v>
      </c>
      <c r="D21" s="176">
        <v>43785</v>
      </c>
      <c r="E21" s="177" t="s">
        <v>8</v>
      </c>
      <c r="F21" s="67">
        <v>106</v>
      </c>
      <c r="G21" s="10" t="s">
        <v>9</v>
      </c>
      <c r="H21" s="67">
        <v>17</v>
      </c>
      <c r="I21" s="64" t="s">
        <v>9</v>
      </c>
      <c r="J21" s="172"/>
      <c r="L21" s="173">
        <f t="shared" si="0"/>
        <v>1.06</v>
      </c>
      <c r="M21" s="174">
        <f t="shared" si="1"/>
        <v>15.1</v>
      </c>
    </row>
    <row r="22" spans="2:14" s="133" customFormat="1" ht="30" customHeight="1">
      <c r="B22" s="10">
        <v>17</v>
      </c>
      <c r="C22" s="141" t="s">
        <v>229</v>
      </c>
      <c r="D22" s="142">
        <v>43558</v>
      </c>
      <c r="E22" s="136" t="s">
        <v>8</v>
      </c>
      <c r="F22" s="132">
        <v>112</v>
      </c>
      <c r="G22" s="10" t="s">
        <v>9</v>
      </c>
      <c r="H22" s="132">
        <v>17</v>
      </c>
      <c r="I22" s="10" t="s">
        <v>9</v>
      </c>
      <c r="J22" s="110"/>
      <c r="L22" s="137">
        <f t="shared" si="0"/>
        <v>1.1200000000000001</v>
      </c>
      <c r="M22" s="138">
        <f t="shared" si="1"/>
        <v>13.6</v>
      </c>
    </row>
    <row r="23" spans="2:14" s="133" customFormat="1" ht="30" customHeight="1">
      <c r="B23" s="10">
        <v>18</v>
      </c>
      <c r="C23" s="134" t="s">
        <v>223</v>
      </c>
      <c r="D23" s="135">
        <v>43564</v>
      </c>
      <c r="E23" s="136" t="s">
        <v>11</v>
      </c>
      <c r="F23" s="132">
        <v>117</v>
      </c>
      <c r="G23" s="10" t="s">
        <v>9</v>
      </c>
      <c r="H23" s="132">
        <v>22</v>
      </c>
      <c r="I23" s="10" t="s">
        <v>9</v>
      </c>
      <c r="J23" s="110"/>
      <c r="L23" s="137">
        <f t="shared" si="0"/>
        <v>1.17</v>
      </c>
      <c r="M23" s="138">
        <f t="shared" si="1"/>
        <v>16.100000000000001</v>
      </c>
    </row>
    <row r="24" spans="2:14" s="133" customFormat="1" ht="30" customHeight="1">
      <c r="B24" s="10">
        <v>19</v>
      </c>
      <c r="C24" s="134" t="s">
        <v>218</v>
      </c>
      <c r="D24" s="135">
        <v>43579</v>
      </c>
      <c r="E24" s="136" t="s">
        <v>8</v>
      </c>
      <c r="F24" s="10">
        <v>115</v>
      </c>
      <c r="G24" s="10" t="s">
        <v>9</v>
      </c>
      <c r="H24" s="10">
        <v>19</v>
      </c>
      <c r="I24" s="10" t="s">
        <v>9</v>
      </c>
      <c r="J24" s="110"/>
      <c r="L24" s="137">
        <f t="shared" si="0"/>
        <v>1.1499999999999999</v>
      </c>
      <c r="M24" s="138">
        <f t="shared" si="1"/>
        <v>14.4</v>
      </c>
    </row>
    <row r="25" spans="2:14" s="133" customFormat="1" ht="30" customHeight="1">
      <c r="B25" s="10">
        <v>20</v>
      </c>
      <c r="C25" s="134" t="s">
        <v>65</v>
      </c>
      <c r="D25" s="135">
        <v>43586</v>
      </c>
      <c r="E25" s="140" t="s">
        <v>11</v>
      </c>
      <c r="F25" s="132">
        <v>120</v>
      </c>
      <c r="G25" s="10" t="s">
        <v>9</v>
      </c>
      <c r="H25" s="132">
        <v>21</v>
      </c>
      <c r="I25" s="10" t="s">
        <v>9</v>
      </c>
      <c r="J25" s="110"/>
      <c r="L25" s="137">
        <f t="shared" si="0"/>
        <v>1.2</v>
      </c>
      <c r="M25" s="138">
        <f t="shared" si="1"/>
        <v>14.6</v>
      </c>
    </row>
    <row r="26" spans="2:14" s="133" customFormat="1" ht="30" customHeight="1">
      <c r="B26" s="10">
        <v>21</v>
      </c>
      <c r="C26" s="134" t="s">
        <v>118</v>
      </c>
      <c r="D26" s="135">
        <v>43590</v>
      </c>
      <c r="E26" s="136" t="s">
        <v>11</v>
      </c>
      <c r="F26" s="132">
        <v>109</v>
      </c>
      <c r="G26" s="10" t="s">
        <v>9</v>
      </c>
      <c r="H26" s="132">
        <v>16</v>
      </c>
      <c r="I26" s="10" t="s">
        <v>9</v>
      </c>
      <c r="J26" s="110"/>
      <c r="L26" s="137">
        <f t="shared" si="0"/>
        <v>1.0900000000000001</v>
      </c>
      <c r="M26" s="138">
        <f t="shared" si="1"/>
        <v>13.5</v>
      </c>
    </row>
    <row r="27" spans="2:14" s="133" customFormat="1" ht="30" customHeight="1">
      <c r="B27" s="10">
        <v>22</v>
      </c>
      <c r="C27" s="134" t="s">
        <v>284</v>
      </c>
      <c r="D27" s="135">
        <v>43623</v>
      </c>
      <c r="E27" s="136" t="s">
        <v>11</v>
      </c>
      <c r="F27" s="132">
        <v>120</v>
      </c>
      <c r="G27" s="10" t="s">
        <v>9</v>
      </c>
      <c r="H27" s="132">
        <v>30</v>
      </c>
      <c r="I27" s="10" t="s">
        <v>10</v>
      </c>
      <c r="J27" s="110"/>
      <c r="L27" s="137">
        <f t="shared" si="0"/>
        <v>1.2</v>
      </c>
      <c r="M27" s="138">
        <f t="shared" si="1"/>
        <v>20.8</v>
      </c>
    </row>
    <row r="28" spans="2:14" s="133" customFormat="1" ht="30" customHeight="1">
      <c r="B28" s="10">
        <v>23</v>
      </c>
      <c r="C28" s="134" t="s">
        <v>220</v>
      </c>
      <c r="D28" s="135">
        <v>43637</v>
      </c>
      <c r="E28" s="136" t="s">
        <v>11</v>
      </c>
      <c r="F28" s="132">
        <v>119</v>
      </c>
      <c r="G28" s="10" t="s">
        <v>9</v>
      </c>
      <c r="H28" s="132">
        <v>19</v>
      </c>
      <c r="I28" s="10" t="s">
        <v>9</v>
      </c>
      <c r="J28" s="110"/>
      <c r="L28" s="137">
        <f t="shared" si="0"/>
        <v>1.19</v>
      </c>
      <c r="M28" s="138">
        <f t="shared" si="1"/>
        <v>13.4</v>
      </c>
    </row>
    <row r="29" spans="2:14" s="133" customFormat="1" ht="30" customHeight="1">
      <c r="B29" s="10">
        <v>24</v>
      </c>
      <c r="C29" s="141" t="s">
        <v>228</v>
      </c>
      <c r="D29" s="142">
        <v>43639</v>
      </c>
      <c r="E29" s="136" t="s">
        <v>11</v>
      </c>
      <c r="F29" s="132">
        <v>116</v>
      </c>
      <c r="G29" s="10" t="s">
        <v>9</v>
      </c>
      <c r="H29" s="132">
        <v>22</v>
      </c>
      <c r="I29" s="10" t="s">
        <v>9</v>
      </c>
      <c r="J29" s="110"/>
      <c r="L29" s="137">
        <f t="shared" si="0"/>
        <v>1.1599999999999999</v>
      </c>
      <c r="M29" s="138">
        <f t="shared" si="1"/>
        <v>16.3</v>
      </c>
    </row>
    <row r="30" spans="2:14" s="133" customFormat="1" ht="30" customHeight="1">
      <c r="B30" s="10">
        <v>25</v>
      </c>
      <c r="C30" s="134" t="s">
        <v>83</v>
      </c>
      <c r="D30" s="135">
        <v>43677</v>
      </c>
      <c r="E30" s="136" t="s">
        <v>8</v>
      </c>
      <c r="F30" s="132">
        <v>112</v>
      </c>
      <c r="G30" s="10" t="s">
        <v>9</v>
      </c>
      <c r="H30" s="132">
        <v>17</v>
      </c>
      <c r="I30" s="10" t="s">
        <v>9</v>
      </c>
      <c r="J30" s="110"/>
      <c r="L30" s="137">
        <f t="shared" si="0"/>
        <v>1.1200000000000001</v>
      </c>
      <c r="M30" s="138">
        <f t="shared" si="1"/>
        <v>13.6</v>
      </c>
    </row>
    <row r="31" spans="2:14" s="133" customFormat="1" ht="30" customHeight="1">
      <c r="B31" s="10">
        <v>26</v>
      </c>
      <c r="C31" s="134" t="s">
        <v>96</v>
      </c>
      <c r="D31" s="135">
        <v>43701</v>
      </c>
      <c r="E31" s="136" t="s">
        <v>11</v>
      </c>
      <c r="F31" s="132">
        <v>116</v>
      </c>
      <c r="G31" s="10" t="s">
        <v>9</v>
      </c>
      <c r="H31" s="132">
        <v>22</v>
      </c>
      <c r="I31" s="10" t="s">
        <v>9</v>
      </c>
      <c r="J31" s="110"/>
      <c r="L31" s="137">
        <f t="shared" si="0"/>
        <v>1.1599999999999999</v>
      </c>
      <c r="M31" s="138">
        <f t="shared" si="1"/>
        <v>16.3</v>
      </c>
      <c r="N31" s="111"/>
    </row>
    <row r="32" spans="2:14" s="133" customFormat="1" ht="30" customHeight="1">
      <c r="B32" s="10">
        <v>27</v>
      </c>
      <c r="C32" s="134" t="s">
        <v>221</v>
      </c>
      <c r="D32" s="135">
        <v>43713</v>
      </c>
      <c r="E32" s="136" t="s">
        <v>11</v>
      </c>
      <c r="F32" s="132">
        <v>114</v>
      </c>
      <c r="G32" s="10" t="s">
        <v>9</v>
      </c>
      <c r="H32" s="132">
        <v>19</v>
      </c>
      <c r="I32" s="10" t="s">
        <v>9</v>
      </c>
      <c r="J32" s="110"/>
      <c r="L32" s="137">
        <f t="shared" si="0"/>
        <v>1.1399999999999999</v>
      </c>
      <c r="M32" s="138">
        <f t="shared" si="1"/>
        <v>14.6</v>
      </c>
    </row>
    <row r="33" spans="2:13" s="133" customFormat="1" ht="30" customHeight="1">
      <c r="B33" s="10">
        <v>28</v>
      </c>
      <c r="C33" s="134" t="s">
        <v>216</v>
      </c>
      <c r="D33" s="135">
        <v>43716</v>
      </c>
      <c r="E33" s="136" t="s">
        <v>8</v>
      </c>
      <c r="F33" s="132">
        <v>118</v>
      </c>
      <c r="G33" s="10" t="s">
        <v>9</v>
      </c>
      <c r="H33" s="132">
        <v>21</v>
      </c>
      <c r="I33" s="10" t="s">
        <v>9</v>
      </c>
      <c r="J33" s="110"/>
      <c r="L33" s="137">
        <f t="shared" si="0"/>
        <v>1.18</v>
      </c>
      <c r="M33" s="138">
        <f t="shared" si="1"/>
        <v>15.1</v>
      </c>
    </row>
    <row r="34" spans="2:13" s="133" customFormat="1" ht="30" customHeight="1">
      <c r="B34" s="10">
        <v>29</v>
      </c>
      <c r="C34" s="134" t="s">
        <v>214</v>
      </c>
      <c r="D34" s="135">
        <v>43759</v>
      </c>
      <c r="E34" s="136" t="s">
        <v>8</v>
      </c>
      <c r="F34" s="132">
        <v>119</v>
      </c>
      <c r="G34" s="10" t="s">
        <v>9</v>
      </c>
      <c r="H34" s="132">
        <v>27</v>
      </c>
      <c r="I34" s="10" t="s">
        <v>10</v>
      </c>
      <c r="J34" s="110"/>
      <c r="L34" s="137">
        <f t="shared" si="0"/>
        <v>1.19</v>
      </c>
      <c r="M34" s="138">
        <f t="shared" si="1"/>
        <v>19.100000000000001</v>
      </c>
    </row>
    <row r="35" spans="2:13" s="32" customFormat="1" ht="30" customHeight="1">
      <c r="B35" s="10">
        <v>30</v>
      </c>
      <c r="C35" s="134" t="s">
        <v>227</v>
      </c>
      <c r="D35" s="135">
        <v>43780</v>
      </c>
      <c r="E35" s="136" t="s">
        <v>8</v>
      </c>
      <c r="F35" s="132">
        <v>120</v>
      </c>
      <c r="G35" s="10" t="s">
        <v>9</v>
      </c>
      <c r="H35" s="132">
        <v>27</v>
      </c>
      <c r="I35" s="10" t="s">
        <v>10</v>
      </c>
      <c r="J35" s="110"/>
      <c r="L35" s="137">
        <f t="shared" si="0"/>
        <v>1.2</v>
      </c>
      <c r="M35" s="138">
        <f t="shared" si="1"/>
        <v>18.8</v>
      </c>
    </row>
    <row r="36" spans="2:13" s="32" customFormat="1" ht="30" customHeight="1">
      <c r="B36" s="10">
        <v>31</v>
      </c>
      <c r="C36" s="134" t="s">
        <v>89</v>
      </c>
      <c r="D36" s="135">
        <v>43803</v>
      </c>
      <c r="E36" s="136" t="s">
        <v>8</v>
      </c>
      <c r="F36" s="132">
        <v>118</v>
      </c>
      <c r="G36" s="10" t="s">
        <v>9</v>
      </c>
      <c r="H36" s="132">
        <v>23</v>
      </c>
      <c r="I36" s="10" t="s">
        <v>9</v>
      </c>
      <c r="J36" s="110"/>
      <c r="L36" s="137">
        <f t="shared" si="0"/>
        <v>1.18</v>
      </c>
      <c r="M36" s="138">
        <f t="shared" si="1"/>
        <v>16.5</v>
      </c>
    </row>
    <row r="37" spans="2:13" s="32" customFormat="1" ht="30" customHeight="1">
      <c r="B37" s="10">
        <v>32</v>
      </c>
      <c r="C37" s="134" t="s">
        <v>68</v>
      </c>
      <c r="D37" s="135">
        <v>43810</v>
      </c>
      <c r="E37" s="136" t="s">
        <v>8</v>
      </c>
      <c r="F37" s="132">
        <v>115</v>
      </c>
      <c r="G37" s="10" t="s">
        <v>9</v>
      </c>
      <c r="H37" s="132">
        <v>24</v>
      </c>
      <c r="I37" s="10" t="s">
        <v>9</v>
      </c>
      <c r="J37" s="110"/>
      <c r="L37" s="137">
        <f t="shared" si="0"/>
        <v>1.1499999999999999</v>
      </c>
      <c r="M37" s="138">
        <f t="shared" si="1"/>
        <v>18.100000000000001</v>
      </c>
    </row>
    <row r="38" spans="2:13" ht="18.75">
      <c r="B38" s="7" t="s">
        <v>276</v>
      </c>
      <c r="C38" s="7"/>
      <c r="D38" s="106"/>
      <c r="E38" s="7"/>
      <c r="F38" s="7"/>
      <c r="G38" s="7"/>
      <c r="H38" s="7"/>
      <c r="I38" s="6"/>
      <c r="J38" s="6"/>
      <c r="L38" s="4"/>
    </row>
    <row r="39" spans="2:13" ht="18.75">
      <c r="B39" s="204" t="s">
        <v>14</v>
      </c>
      <c r="C39" s="204"/>
      <c r="D39" s="204"/>
      <c r="E39" s="204"/>
      <c r="F39" s="204"/>
      <c r="G39" s="204"/>
      <c r="H39" s="204"/>
      <c r="I39" s="7"/>
      <c r="J39" s="7"/>
      <c r="K39" s="8"/>
      <c r="M39" s="167"/>
    </row>
    <row r="40" spans="2:13" ht="18.75">
      <c r="B40" s="79"/>
      <c r="C40" s="205" t="s">
        <v>15</v>
      </c>
      <c r="D40" s="107"/>
      <c r="E40" s="11" t="s">
        <v>8</v>
      </c>
      <c r="F40" s="11" t="s">
        <v>11</v>
      </c>
      <c r="G40" s="11" t="s">
        <v>16</v>
      </c>
      <c r="H40" s="11" t="s">
        <v>17</v>
      </c>
      <c r="I40" s="73"/>
      <c r="J40" s="73" t="s">
        <v>18</v>
      </c>
      <c r="K40" s="8"/>
    </row>
    <row r="41" spans="2:13" ht="31.5">
      <c r="B41" s="13"/>
      <c r="C41" s="206"/>
      <c r="D41" s="107" t="s">
        <v>9</v>
      </c>
      <c r="E41" s="10">
        <f>COUNTIFS($G$6:$G$37,"BT",$E$6:$E$37,"Nam")</f>
        <v>16</v>
      </c>
      <c r="F41" s="10">
        <f>COUNTIFS($G$6:$G$37,"BT",$E$6:$E$37,"Nữ")</f>
        <v>16</v>
      </c>
      <c r="G41" s="10">
        <f>SUM(E41:F41)</f>
        <v>32</v>
      </c>
      <c r="H41" s="10">
        <f>ROUND((G41/32*100),1)</f>
        <v>100</v>
      </c>
      <c r="I41" s="14"/>
      <c r="J41" s="15" t="s">
        <v>9</v>
      </c>
      <c r="K41" s="16" t="s">
        <v>19</v>
      </c>
    </row>
    <row r="42" spans="2:13" ht="47.25">
      <c r="B42" s="13"/>
      <c r="C42" s="206"/>
      <c r="D42" s="107" t="s">
        <v>20</v>
      </c>
      <c r="E42" s="10">
        <f>COUNTIFS($G$6:$G$37,"TC.N",$E$6:$E$37,"Nam")</f>
        <v>0</v>
      </c>
      <c r="F42" s="10">
        <f>COUNTIFS($G$6:$G$37,"TC.N",$E$6:$E$37,"Nữ")</f>
        <v>0</v>
      </c>
      <c r="G42" s="10">
        <f>SUM(E42:F42)</f>
        <v>0</v>
      </c>
      <c r="H42" s="10">
        <f>ROUND((G42/34*100),1)</f>
        <v>0</v>
      </c>
      <c r="I42" s="14"/>
      <c r="J42" s="15" t="s">
        <v>20</v>
      </c>
      <c r="K42" s="16" t="s">
        <v>21</v>
      </c>
    </row>
    <row r="43" spans="2:13" ht="18.75">
      <c r="B43" s="13"/>
      <c r="C43" s="207"/>
      <c r="D43" s="107" t="s">
        <v>12</v>
      </c>
      <c r="E43" s="10">
        <f>COUNTIFS($G$6:$G$37,"TC",$E$6:$E$37,"Nam")</f>
        <v>0</v>
      </c>
      <c r="F43" s="10">
        <f>COUNTIFS($G$6:$G$37,"TC",$E$6:$E$37,"Nữ")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12</v>
      </c>
      <c r="K43" s="16" t="s">
        <v>22</v>
      </c>
    </row>
    <row r="44" spans="2:13" ht="18.75">
      <c r="B44" s="13"/>
      <c r="C44" s="17" t="s">
        <v>16</v>
      </c>
      <c r="D44" s="107"/>
      <c r="E44" s="18">
        <f>SUM(E41:E43)</f>
        <v>16</v>
      </c>
      <c r="F44" s="18">
        <f>SUM(F41:F43)</f>
        <v>16</v>
      </c>
      <c r="G44" s="18">
        <f>SUM(G41:G43)</f>
        <v>32</v>
      </c>
      <c r="H44" s="10">
        <f>SUM(H41:H43)</f>
        <v>100</v>
      </c>
      <c r="I44" s="19"/>
      <c r="J44" s="20" t="s">
        <v>10</v>
      </c>
      <c r="K44" s="16" t="s">
        <v>23</v>
      </c>
    </row>
    <row r="45" spans="2:13" ht="18.75">
      <c r="B45" s="13"/>
      <c r="C45" s="208" t="s">
        <v>24</v>
      </c>
      <c r="D45" s="107" t="s">
        <v>9</v>
      </c>
      <c r="E45" s="18">
        <f>COUNTIFS($I$6:$I$37,"BT",$E$6:$E$37,"Nam")</f>
        <v>11</v>
      </c>
      <c r="F45" s="18">
        <f>COUNTIFS($I$6:$I$37,"BT",$E$6:$E$37,"Nữ")</f>
        <v>13</v>
      </c>
      <c r="G45" s="18">
        <f t="shared" ref="G45:G51" si="2">SUM(E45:F45)</f>
        <v>24</v>
      </c>
      <c r="H45" s="18">
        <f>ROUND((G45/32*100),1)</f>
        <v>75</v>
      </c>
      <c r="I45" s="19"/>
      <c r="J45" s="20" t="s">
        <v>25</v>
      </c>
      <c r="K45" s="16" t="s">
        <v>26</v>
      </c>
    </row>
    <row r="46" spans="2:13" ht="47.25">
      <c r="B46" s="13"/>
      <c r="C46" s="209"/>
      <c r="D46" s="107" t="s">
        <v>10</v>
      </c>
      <c r="E46" s="18">
        <f>COUNTIFS($I$6:$I$37,"BP",$E$6:$E$37,"Nam")</f>
        <v>3</v>
      </c>
      <c r="F46" s="18">
        <f>COUNTIFS($I$6:$I$37,"BP",$E$6:$E$37,"Nữ")</f>
        <v>2</v>
      </c>
      <c r="G46" s="18">
        <f t="shared" si="2"/>
        <v>5</v>
      </c>
      <c r="H46" s="18">
        <f>ROUND((G46/32*100),1)</f>
        <v>15.6</v>
      </c>
      <c r="I46" s="19"/>
      <c r="J46" s="21" t="s">
        <v>27</v>
      </c>
      <c r="K46" s="16" t="s">
        <v>28</v>
      </c>
    </row>
    <row r="47" spans="2:13" ht="18.75">
      <c r="B47" s="13"/>
      <c r="C47" s="209"/>
      <c r="D47" s="107" t="s">
        <v>25</v>
      </c>
      <c r="E47" s="18">
        <f>COUNTIFS($I$6:$I$37,"Th.C",$E$6:$E$37,"Nam")</f>
        <v>2</v>
      </c>
      <c r="F47" s="18">
        <f>COUNTIFS($I$6:$I$37,"Th.C",$E$6:$E$37,"Nữ")</f>
        <v>1</v>
      </c>
      <c r="G47" s="18">
        <f t="shared" si="2"/>
        <v>3</v>
      </c>
      <c r="H47" s="18">
        <f>ROUND((G47/32*100),1)</f>
        <v>9.4</v>
      </c>
      <c r="I47" s="19"/>
      <c r="J47" s="22" t="s">
        <v>13</v>
      </c>
      <c r="K47" s="15" t="s">
        <v>29</v>
      </c>
    </row>
    <row r="48" spans="2:13" ht="18.75">
      <c r="B48" s="13"/>
      <c r="C48" s="209"/>
      <c r="D48" s="107" t="s">
        <v>27</v>
      </c>
      <c r="E48" s="18">
        <f>COUNTIFS($I$6:$I$37,"NC.N",$E$6:$E$37,"Nam")</f>
        <v>0</v>
      </c>
      <c r="F48" s="18">
        <f>COUNTIFS($I$6:$I$37,"NC.N",$E$6:$E$37,"Nữ")</f>
        <v>0</v>
      </c>
      <c r="G48" s="18">
        <f t="shared" si="2"/>
        <v>0</v>
      </c>
      <c r="H48" s="18">
        <f>ROUND((G48/34*100),1)</f>
        <v>0</v>
      </c>
      <c r="I48" s="19"/>
      <c r="J48" s="22" t="s">
        <v>30</v>
      </c>
      <c r="K48" s="23" t="s">
        <v>31</v>
      </c>
    </row>
    <row r="49" spans="2:11" ht="47.25">
      <c r="B49" s="13"/>
      <c r="C49" s="209"/>
      <c r="D49" s="107" t="s">
        <v>13</v>
      </c>
      <c r="E49" s="18">
        <f>COUNTIFS($I$6:$I$37,"NC",$E$6:$E$37,"Nam")</f>
        <v>0</v>
      </c>
      <c r="F49" s="18">
        <f>COUNTIFS($I$6:$I$37,"NC",$E$6:$E$37,"Nữ")</f>
        <v>0</v>
      </c>
      <c r="G49" s="18">
        <f t="shared" si="2"/>
        <v>0</v>
      </c>
      <c r="H49" s="18">
        <f>ROUND((G49/38*100),1)</f>
        <v>0</v>
      </c>
      <c r="I49" s="19"/>
      <c r="J49" s="24" t="s">
        <v>32</v>
      </c>
      <c r="K49" s="16" t="s">
        <v>33</v>
      </c>
    </row>
    <row r="50" spans="2:11" ht="18.75">
      <c r="B50" s="13"/>
      <c r="C50" s="209"/>
      <c r="D50" s="107" t="s">
        <v>30</v>
      </c>
      <c r="E50" s="18">
        <f>COUNTIFS($I$6:$I$37,"GC",$E$6:$E$37,"Nam")</f>
        <v>0</v>
      </c>
      <c r="F50" s="18">
        <f>COUNTIFS($I$6:$I$37,"GC",$E$6:$E$37,"Nữ")</f>
        <v>0</v>
      </c>
      <c r="G50" s="18">
        <f t="shared" si="2"/>
        <v>0</v>
      </c>
      <c r="H50" s="18">
        <f>ROUND((G50/38*100),1)</f>
        <v>0</v>
      </c>
      <c r="I50" s="19"/>
      <c r="J50" s="25"/>
    </row>
    <row r="51" spans="2:11" ht="18.75">
      <c r="B51" s="26"/>
      <c r="C51" s="210"/>
      <c r="D51" s="107" t="s">
        <v>32</v>
      </c>
      <c r="E51" s="18">
        <f>COUNTIFS($I$6:$I$37,"GC.N",$E$6:$E$37,"Nam")</f>
        <v>0</v>
      </c>
      <c r="F51" s="18">
        <f>COUNTIFS($I$6:$I$37,"GC.N",$E$6:$E$37,"Nữ")</f>
        <v>0</v>
      </c>
      <c r="G51" s="18">
        <f t="shared" si="2"/>
        <v>0</v>
      </c>
      <c r="H51" s="18">
        <f>ROUND((G51/34*100),1)</f>
        <v>0</v>
      </c>
      <c r="I51" s="19"/>
      <c r="J51" s="25"/>
    </row>
    <row r="52" spans="2:11" ht="18.75">
      <c r="B52" s="26"/>
      <c r="C52" s="17" t="s">
        <v>16</v>
      </c>
      <c r="D52" s="107"/>
      <c r="E52" s="28">
        <f>SUM(E45:E51)</f>
        <v>16</v>
      </c>
      <c r="F52" s="28">
        <f>SUM(F45:F51)</f>
        <v>16</v>
      </c>
      <c r="G52" s="28">
        <f>SUM(G45:G51)</f>
        <v>32</v>
      </c>
      <c r="H52" s="28">
        <f>SUM(H45:H51)</f>
        <v>100</v>
      </c>
      <c r="I52" s="29"/>
      <c r="J52" s="78"/>
      <c r="K52" s="26"/>
    </row>
    <row r="53" spans="2:11" ht="18.75">
      <c r="B53" s="26"/>
      <c r="C53" s="26"/>
      <c r="G53" s="60"/>
      <c r="H53" s="61"/>
      <c r="I53" s="77" t="s">
        <v>289</v>
      </c>
      <c r="J53" s="77"/>
      <c r="K53" s="77"/>
    </row>
    <row r="54" spans="2:11" ht="15.75">
      <c r="B54" s="32"/>
      <c r="C54" s="32"/>
      <c r="G54" s="31"/>
      <c r="H54" s="33"/>
      <c r="I54" s="80" t="s">
        <v>34</v>
      </c>
      <c r="J54" s="80"/>
      <c r="K54" s="80"/>
    </row>
    <row r="55" spans="2:11" ht="15.75">
      <c r="B55" s="32"/>
      <c r="C55" s="32"/>
      <c r="D55" s="108"/>
      <c r="E55" s="33"/>
      <c r="F55" s="32"/>
      <c r="G55" s="33"/>
      <c r="H55" s="32" t="s">
        <v>266</v>
      </c>
      <c r="I55" s="32"/>
      <c r="J55" s="32"/>
      <c r="K55" s="5"/>
    </row>
    <row r="56" spans="2:11" ht="15.75">
      <c r="B56" s="32"/>
      <c r="C56" s="32"/>
      <c r="D56" s="108"/>
      <c r="E56" s="33"/>
      <c r="F56" s="32"/>
      <c r="G56" s="33"/>
      <c r="H56" s="32" t="s">
        <v>112</v>
      </c>
      <c r="I56" s="32"/>
      <c r="J56" s="32"/>
      <c r="K56" s="80"/>
    </row>
  </sheetData>
  <sortState ref="C6:E37">
    <sortCondition ref="D6:D37"/>
  </sortState>
  <mergeCells count="14">
    <mergeCell ref="J3:J5"/>
    <mergeCell ref="B39:H39"/>
    <mergeCell ref="C40:C43"/>
    <mergeCell ref="C45:C51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76" bottom="0.71" header="0.43" footer="0.37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M57"/>
  <sheetViews>
    <sheetView topLeftCell="A46" workbookViewId="0">
      <selection activeCell="G59" sqref="G59"/>
    </sheetView>
  </sheetViews>
  <sheetFormatPr defaultRowHeight="15"/>
  <cols>
    <col min="1" max="1" width="2.7109375" customWidth="1"/>
    <col min="2" max="2" width="5.5703125" customWidth="1"/>
    <col min="3" max="3" width="23.7109375" customWidth="1"/>
    <col min="4" max="4" width="8" customWidth="1"/>
    <col min="5" max="5" width="7.42578125" customWidth="1"/>
    <col min="6" max="6" width="8" customWidth="1"/>
    <col min="7" max="7" width="7.28515625" customWidth="1"/>
    <col min="8" max="9" width="7.5703125" customWidth="1"/>
    <col min="10" max="10" width="7.85546875" customWidth="1"/>
  </cols>
  <sheetData>
    <row r="1" spans="2:13" ht="20.25">
      <c r="B1" s="211" t="s">
        <v>45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2:13" ht="18.75">
      <c r="B2" s="204" t="s">
        <v>46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2:13" ht="20.25" customHeight="1">
      <c r="B3" s="212" t="s">
        <v>0</v>
      </c>
      <c r="C3" s="212" t="s">
        <v>1</v>
      </c>
      <c r="D3" s="226" t="s">
        <v>2</v>
      </c>
      <c r="E3" s="218" t="s">
        <v>3</v>
      </c>
      <c r="F3" s="219" t="s">
        <v>4</v>
      </c>
      <c r="G3" s="218" t="s">
        <v>5</v>
      </c>
      <c r="H3" s="219" t="s">
        <v>6</v>
      </c>
      <c r="I3" s="218" t="s">
        <v>5</v>
      </c>
      <c r="J3" s="222" t="s">
        <v>7</v>
      </c>
      <c r="K3" s="1"/>
      <c r="L3" s="46"/>
      <c r="M3" s="46"/>
    </row>
    <row r="4" spans="2:13" ht="18.75">
      <c r="B4" s="213"/>
      <c r="C4" s="213"/>
      <c r="D4" s="227"/>
      <c r="E4" s="213"/>
      <c r="F4" s="220"/>
      <c r="G4" s="213"/>
      <c r="H4" s="220"/>
      <c r="I4" s="213"/>
      <c r="J4" s="223"/>
      <c r="K4" s="2"/>
      <c r="L4" s="46"/>
      <c r="M4" s="46"/>
    </row>
    <row r="5" spans="2:13" ht="18">
      <c r="B5" s="214"/>
      <c r="C5" s="214"/>
      <c r="D5" s="228"/>
      <c r="E5" s="214"/>
      <c r="F5" s="221"/>
      <c r="G5" s="214"/>
      <c r="H5" s="221"/>
      <c r="I5" s="214"/>
      <c r="J5" s="223"/>
      <c r="K5" s="3"/>
      <c r="L5" s="47"/>
      <c r="M5" s="46"/>
    </row>
    <row r="6" spans="2:13" s="91" customFormat="1" ht="30" customHeight="1">
      <c r="B6" s="64">
        <v>1</v>
      </c>
      <c r="C6" s="121" t="s">
        <v>94</v>
      </c>
      <c r="D6" s="114">
        <v>43512</v>
      </c>
      <c r="E6" s="115" t="s">
        <v>11</v>
      </c>
      <c r="F6" s="67">
        <v>117</v>
      </c>
      <c r="G6" s="64" t="s">
        <v>9</v>
      </c>
      <c r="H6" s="67">
        <v>24</v>
      </c>
      <c r="I6" s="64" t="s">
        <v>25</v>
      </c>
      <c r="J6" s="126"/>
      <c r="K6" s="116"/>
      <c r="L6" s="112">
        <f t="shared" ref="L6:L36" si="0">CONVERT(F6,"cm","m")</f>
        <v>1.17</v>
      </c>
      <c r="M6" s="46">
        <f t="shared" ref="M6:M36" si="1">ROUND(H6/(L6*L6),1)</f>
        <v>17.5</v>
      </c>
    </row>
    <row r="7" spans="2:13" s="91" customFormat="1" ht="30" customHeight="1">
      <c r="B7" s="64">
        <v>2</v>
      </c>
      <c r="C7" s="121" t="s">
        <v>236</v>
      </c>
      <c r="D7" s="114">
        <v>43515</v>
      </c>
      <c r="E7" s="115" t="s">
        <v>11</v>
      </c>
      <c r="F7" s="67">
        <v>121</v>
      </c>
      <c r="G7" s="64" t="s">
        <v>9</v>
      </c>
      <c r="H7" s="67">
        <v>24</v>
      </c>
      <c r="I7" s="64" t="s">
        <v>9</v>
      </c>
      <c r="J7" s="126"/>
      <c r="K7" s="116"/>
      <c r="L7" s="112">
        <f t="shared" si="0"/>
        <v>1.21</v>
      </c>
      <c r="M7" s="46">
        <f t="shared" si="1"/>
        <v>16.399999999999999</v>
      </c>
    </row>
    <row r="8" spans="2:13" s="91" customFormat="1" ht="30" customHeight="1">
      <c r="B8" s="64">
        <v>3</v>
      </c>
      <c r="C8" s="121" t="s">
        <v>231</v>
      </c>
      <c r="D8" s="114">
        <v>43539</v>
      </c>
      <c r="E8" s="115" t="s">
        <v>11</v>
      </c>
      <c r="F8" s="67">
        <v>108</v>
      </c>
      <c r="G8" s="64" t="s">
        <v>9</v>
      </c>
      <c r="H8" s="67">
        <v>16</v>
      </c>
      <c r="I8" s="64" t="s">
        <v>9</v>
      </c>
      <c r="J8" s="126"/>
      <c r="K8" s="116"/>
      <c r="L8" s="112">
        <f>CONVERT(F8,"cm","m")</f>
        <v>1.08</v>
      </c>
      <c r="M8" s="46">
        <f t="shared" ref="M8:M14" si="2">ROUND(H8/(L8*L8),1)</f>
        <v>13.7</v>
      </c>
    </row>
    <row r="9" spans="2:13" s="91" customFormat="1" ht="30" customHeight="1">
      <c r="B9" s="64">
        <v>4</v>
      </c>
      <c r="C9" s="121" t="s">
        <v>272</v>
      </c>
      <c r="D9" s="114">
        <v>43549</v>
      </c>
      <c r="E9" s="115" t="s">
        <v>8</v>
      </c>
      <c r="F9" s="67">
        <v>123</v>
      </c>
      <c r="G9" s="64" t="s">
        <v>9</v>
      </c>
      <c r="H9" s="67">
        <v>33</v>
      </c>
      <c r="I9" s="64" t="s">
        <v>10</v>
      </c>
      <c r="J9" s="126"/>
      <c r="K9" s="116"/>
      <c r="L9" s="112">
        <f>CONVERT(F9,"cm","m")</f>
        <v>1.23</v>
      </c>
      <c r="M9" s="46">
        <f t="shared" si="2"/>
        <v>21.8</v>
      </c>
    </row>
    <row r="10" spans="2:13" s="91" customFormat="1" ht="30" customHeight="1">
      <c r="B10" s="64">
        <v>5</v>
      </c>
      <c r="C10" s="121" t="s">
        <v>241</v>
      </c>
      <c r="D10" s="114">
        <v>43549</v>
      </c>
      <c r="E10" s="115" t="s">
        <v>11</v>
      </c>
      <c r="F10" s="67">
        <v>120</v>
      </c>
      <c r="G10" s="64" t="s">
        <v>9</v>
      </c>
      <c r="H10" s="67">
        <v>27</v>
      </c>
      <c r="I10" s="64" t="s">
        <v>25</v>
      </c>
      <c r="J10" s="126"/>
      <c r="K10" s="116"/>
      <c r="L10" s="112">
        <f>CONVERT(F10,"cm","m")</f>
        <v>1.2</v>
      </c>
      <c r="M10" s="46">
        <f t="shared" si="2"/>
        <v>18.8</v>
      </c>
    </row>
    <row r="11" spans="2:13" s="91" customFormat="1" ht="30" customHeight="1">
      <c r="B11" s="64">
        <v>6</v>
      </c>
      <c r="C11" s="121" t="s">
        <v>79</v>
      </c>
      <c r="D11" s="114">
        <v>43557</v>
      </c>
      <c r="E11" s="115" t="s">
        <v>11</v>
      </c>
      <c r="F11" s="67">
        <v>114</v>
      </c>
      <c r="G11" s="64" t="s">
        <v>9</v>
      </c>
      <c r="H11" s="67">
        <v>20</v>
      </c>
      <c r="I11" s="64" t="s">
        <v>9</v>
      </c>
      <c r="J11" s="126"/>
      <c r="K11" s="116"/>
      <c r="L11" s="112">
        <f>CONVERT(F11,"cm","m")</f>
        <v>1.1399999999999999</v>
      </c>
      <c r="M11" s="46">
        <f t="shared" si="2"/>
        <v>15.4</v>
      </c>
    </row>
    <row r="12" spans="2:13" s="91" customFormat="1" ht="30" customHeight="1">
      <c r="B12" s="64">
        <v>7</v>
      </c>
      <c r="C12" s="121" t="s">
        <v>235</v>
      </c>
      <c r="D12" s="114">
        <v>43561</v>
      </c>
      <c r="E12" s="115" t="s">
        <v>11</v>
      </c>
      <c r="F12" s="67">
        <v>117</v>
      </c>
      <c r="G12" s="64" t="s">
        <v>9</v>
      </c>
      <c r="H12" s="67">
        <v>19</v>
      </c>
      <c r="I12" s="64" t="s">
        <v>9</v>
      </c>
      <c r="J12" s="126"/>
      <c r="K12" s="116"/>
      <c r="L12" s="112">
        <f t="shared" si="0"/>
        <v>1.17</v>
      </c>
      <c r="M12" s="46">
        <f t="shared" si="2"/>
        <v>13.9</v>
      </c>
    </row>
    <row r="13" spans="2:13" s="91" customFormat="1" ht="30" customHeight="1">
      <c r="B13" s="64">
        <v>8</v>
      </c>
      <c r="C13" s="121" t="s">
        <v>242</v>
      </c>
      <c r="D13" s="114">
        <v>43570</v>
      </c>
      <c r="E13" s="115" t="s">
        <v>11</v>
      </c>
      <c r="F13" s="67">
        <v>111</v>
      </c>
      <c r="G13" s="64" t="s">
        <v>9</v>
      </c>
      <c r="H13" s="67">
        <v>17</v>
      </c>
      <c r="I13" s="64" t="s">
        <v>9</v>
      </c>
      <c r="J13" s="126"/>
      <c r="K13" s="116"/>
      <c r="L13" s="112">
        <f t="shared" si="0"/>
        <v>1.1100000000000001</v>
      </c>
      <c r="M13" s="46">
        <f t="shared" si="2"/>
        <v>13.8</v>
      </c>
    </row>
    <row r="14" spans="2:13" s="91" customFormat="1" ht="30" customHeight="1">
      <c r="B14" s="64">
        <v>9</v>
      </c>
      <c r="C14" s="121" t="s">
        <v>239</v>
      </c>
      <c r="D14" s="114">
        <v>43577</v>
      </c>
      <c r="E14" s="115" t="s">
        <v>8</v>
      </c>
      <c r="F14" s="67">
        <v>110</v>
      </c>
      <c r="G14" s="64" t="s">
        <v>9</v>
      </c>
      <c r="H14" s="67">
        <v>18</v>
      </c>
      <c r="I14" s="64" t="s">
        <v>9</v>
      </c>
      <c r="J14" s="126"/>
      <c r="K14" s="116"/>
      <c r="L14" s="112">
        <f t="shared" si="0"/>
        <v>1.1000000000000001</v>
      </c>
      <c r="M14" s="46">
        <f t="shared" si="2"/>
        <v>14.9</v>
      </c>
    </row>
    <row r="15" spans="2:13" s="91" customFormat="1" ht="30" customHeight="1">
      <c r="B15" s="64">
        <v>10</v>
      </c>
      <c r="C15" s="122" t="s">
        <v>92</v>
      </c>
      <c r="D15" s="84">
        <v>43588</v>
      </c>
      <c r="E15" s="115" t="s">
        <v>8</v>
      </c>
      <c r="F15" s="67">
        <v>117</v>
      </c>
      <c r="G15" s="64" t="s">
        <v>9</v>
      </c>
      <c r="H15" s="67">
        <v>22</v>
      </c>
      <c r="I15" s="64" t="s">
        <v>9</v>
      </c>
      <c r="J15" s="126"/>
      <c r="K15" s="116"/>
      <c r="L15" s="112">
        <f t="shared" si="0"/>
        <v>1.17</v>
      </c>
      <c r="M15" s="46">
        <f t="shared" si="1"/>
        <v>16.100000000000001</v>
      </c>
    </row>
    <row r="16" spans="2:13" s="91" customFormat="1" ht="30" customHeight="1">
      <c r="B16" s="64">
        <v>11</v>
      </c>
      <c r="C16" s="121" t="s">
        <v>87</v>
      </c>
      <c r="D16" s="114">
        <v>43617</v>
      </c>
      <c r="E16" s="115" t="s">
        <v>8</v>
      </c>
      <c r="F16" s="67">
        <v>113</v>
      </c>
      <c r="G16" s="64" t="s">
        <v>9</v>
      </c>
      <c r="H16" s="67">
        <v>21</v>
      </c>
      <c r="I16" s="64" t="s">
        <v>9</v>
      </c>
      <c r="J16" s="126"/>
      <c r="K16" s="116"/>
      <c r="L16" s="112">
        <f>CONVERT(F16,"cm","m")</f>
        <v>1.1299999999999999</v>
      </c>
      <c r="M16" s="46">
        <f>ROUND(H16/(L16*L16),1)</f>
        <v>16.399999999999999</v>
      </c>
    </row>
    <row r="17" spans="2:13" s="91" customFormat="1" ht="30" customHeight="1">
      <c r="B17" s="64">
        <v>12</v>
      </c>
      <c r="C17" s="121" t="s">
        <v>240</v>
      </c>
      <c r="D17" s="114">
        <v>43618</v>
      </c>
      <c r="E17" s="115" t="s">
        <v>11</v>
      </c>
      <c r="F17" s="67">
        <v>119</v>
      </c>
      <c r="G17" s="64" t="s">
        <v>9</v>
      </c>
      <c r="H17" s="67">
        <v>19</v>
      </c>
      <c r="I17" s="64" t="s">
        <v>9</v>
      </c>
      <c r="J17" s="126"/>
      <c r="K17" s="116"/>
      <c r="L17" s="112">
        <f>CONVERT(F17,"cm","m")</f>
        <v>1.19</v>
      </c>
      <c r="M17" s="46">
        <f>ROUND(H17/(L17*L17),1)</f>
        <v>13.4</v>
      </c>
    </row>
    <row r="18" spans="2:13" s="91" customFormat="1" ht="30" customHeight="1">
      <c r="B18" s="64">
        <v>13</v>
      </c>
      <c r="C18" s="121" t="s">
        <v>82</v>
      </c>
      <c r="D18" s="114">
        <v>43637</v>
      </c>
      <c r="E18" s="115" t="s">
        <v>11</v>
      </c>
      <c r="F18" s="67">
        <v>114</v>
      </c>
      <c r="G18" s="64" t="s">
        <v>9</v>
      </c>
      <c r="H18" s="67">
        <v>22</v>
      </c>
      <c r="I18" s="64" t="s">
        <v>9</v>
      </c>
      <c r="J18" s="126"/>
      <c r="K18" s="116"/>
      <c r="L18" s="112">
        <f>CONVERT(F18,"cm","m")</f>
        <v>1.1399999999999999</v>
      </c>
      <c r="M18" s="46">
        <f>ROUND(H18/(L18*L18),1)</f>
        <v>16.899999999999999</v>
      </c>
    </row>
    <row r="19" spans="2:13" s="116" customFormat="1" ht="30" customHeight="1">
      <c r="B19" s="64">
        <v>14</v>
      </c>
      <c r="C19" s="121" t="s">
        <v>237</v>
      </c>
      <c r="D19" s="114">
        <v>43639</v>
      </c>
      <c r="E19" s="115" t="s">
        <v>11</v>
      </c>
      <c r="F19" s="67">
        <v>120</v>
      </c>
      <c r="G19" s="64" t="s">
        <v>9</v>
      </c>
      <c r="H19" s="67">
        <v>21</v>
      </c>
      <c r="I19" s="64" t="s">
        <v>9</v>
      </c>
      <c r="J19" s="126"/>
      <c r="L19" s="112">
        <f t="shared" si="0"/>
        <v>1.2</v>
      </c>
      <c r="M19" s="46">
        <f t="shared" si="1"/>
        <v>14.6</v>
      </c>
    </row>
    <row r="20" spans="2:13" s="91" customFormat="1" ht="30" customHeight="1">
      <c r="B20" s="64">
        <v>15</v>
      </c>
      <c r="C20" s="121" t="s">
        <v>101</v>
      </c>
      <c r="D20" s="114">
        <v>43648</v>
      </c>
      <c r="E20" s="115" t="s">
        <v>8</v>
      </c>
      <c r="F20" s="67">
        <v>114</v>
      </c>
      <c r="G20" s="64" t="s">
        <v>9</v>
      </c>
      <c r="H20" s="67">
        <v>24</v>
      </c>
      <c r="I20" s="64" t="s">
        <v>10</v>
      </c>
      <c r="J20" s="126"/>
      <c r="K20" s="116"/>
      <c r="L20" s="112">
        <f>CONVERT(F20,"cm","m")</f>
        <v>1.1399999999999999</v>
      </c>
      <c r="M20" s="46">
        <f>ROUND(H20/(L20*L20),1)</f>
        <v>18.5</v>
      </c>
    </row>
    <row r="21" spans="2:13" s="91" customFormat="1" ht="30" customHeight="1">
      <c r="B21" s="64">
        <v>16</v>
      </c>
      <c r="C21" s="121" t="s">
        <v>99</v>
      </c>
      <c r="D21" s="114">
        <v>43655</v>
      </c>
      <c r="E21" s="115" t="s">
        <v>11</v>
      </c>
      <c r="F21" s="67">
        <v>108</v>
      </c>
      <c r="G21" s="64" t="s">
        <v>9</v>
      </c>
      <c r="H21" s="67">
        <v>20</v>
      </c>
      <c r="I21" s="64" t="s">
        <v>25</v>
      </c>
      <c r="J21" s="126"/>
      <c r="K21" s="116"/>
      <c r="L21" s="112">
        <f>CONVERT(F21,"cm","m")</f>
        <v>1.08</v>
      </c>
      <c r="M21" s="46">
        <f>ROUND(H21/(L21*L21),1)</f>
        <v>17.100000000000001</v>
      </c>
    </row>
    <row r="22" spans="2:13" s="91" customFormat="1" ht="30" customHeight="1">
      <c r="B22" s="64">
        <v>17</v>
      </c>
      <c r="C22" s="121" t="s">
        <v>85</v>
      </c>
      <c r="D22" s="114">
        <v>43674</v>
      </c>
      <c r="E22" s="115" t="s">
        <v>8</v>
      </c>
      <c r="F22" s="67">
        <v>111</v>
      </c>
      <c r="G22" s="64" t="s">
        <v>9</v>
      </c>
      <c r="H22" s="67">
        <v>20</v>
      </c>
      <c r="I22" s="64" t="s">
        <v>9</v>
      </c>
      <c r="J22" s="126"/>
      <c r="K22" s="116"/>
      <c r="L22" s="112">
        <f t="shared" si="0"/>
        <v>1.1100000000000001</v>
      </c>
      <c r="M22" s="46">
        <f t="shared" si="1"/>
        <v>16.2</v>
      </c>
    </row>
    <row r="23" spans="2:13" s="91" customFormat="1" ht="30" customHeight="1">
      <c r="B23" s="64">
        <v>18</v>
      </c>
      <c r="C23" s="121" t="s">
        <v>104</v>
      </c>
      <c r="D23" s="114">
        <v>43688</v>
      </c>
      <c r="E23" s="115" t="s">
        <v>11</v>
      </c>
      <c r="F23" s="67">
        <v>120</v>
      </c>
      <c r="G23" s="64" t="s">
        <v>9</v>
      </c>
      <c r="H23" s="67">
        <v>23</v>
      </c>
      <c r="I23" s="64" t="s">
        <v>9</v>
      </c>
      <c r="J23" s="126"/>
      <c r="K23" s="116"/>
      <c r="L23" s="112">
        <f t="shared" si="0"/>
        <v>1.2</v>
      </c>
      <c r="M23" s="46">
        <f>ROUND(H23/(L23*L23),1)</f>
        <v>16</v>
      </c>
    </row>
    <row r="24" spans="2:13" s="91" customFormat="1" ht="30" customHeight="1">
      <c r="B24" s="64">
        <v>19</v>
      </c>
      <c r="C24" s="121" t="s">
        <v>51</v>
      </c>
      <c r="D24" s="114">
        <v>43696</v>
      </c>
      <c r="E24" s="115" t="s">
        <v>11</v>
      </c>
      <c r="F24" s="67">
        <v>112</v>
      </c>
      <c r="G24" s="64" t="s">
        <v>9</v>
      </c>
      <c r="H24" s="67">
        <v>18</v>
      </c>
      <c r="I24" s="64" t="s">
        <v>9</v>
      </c>
      <c r="J24" s="126"/>
      <c r="K24" s="116"/>
      <c r="L24" s="112">
        <f t="shared" si="0"/>
        <v>1.1200000000000001</v>
      </c>
      <c r="M24" s="46">
        <f>ROUND(H24/(L24*L24),1)</f>
        <v>14.3</v>
      </c>
    </row>
    <row r="25" spans="2:13" s="91" customFormat="1" ht="30" customHeight="1">
      <c r="B25" s="64">
        <v>20</v>
      </c>
      <c r="C25" s="121" t="s">
        <v>286</v>
      </c>
      <c r="D25" s="114">
        <v>43687</v>
      </c>
      <c r="E25" s="115" t="s">
        <v>8</v>
      </c>
      <c r="F25" s="67">
        <v>110</v>
      </c>
      <c r="G25" s="64" t="s">
        <v>9</v>
      </c>
      <c r="H25" s="67">
        <v>20</v>
      </c>
      <c r="I25" s="64" t="s">
        <v>9</v>
      </c>
      <c r="J25" s="126"/>
      <c r="K25" s="116"/>
      <c r="L25" s="112">
        <f>CONVERT(F25,"cm","m")</f>
        <v>1.1000000000000001</v>
      </c>
      <c r="M25" s="46">
        <f>ROUND(H25/(L25*L25),1)</f>
        <v>16.5</v>
      </c>
    </row>
    <row r="26" spans="2:13" s="91" customFormat="1" ht="30" customHeight="1">
      <c r="B26" s="64">
        <v>21</v>
      </c>
      <c r="C26" s="121" t="s">
        <v>238</v>
      </c>
      <c r="D26" s="114">
        <v>43711</v>
      </c>
      <c r="E26" s="115" t="s">
        <v>11</v>
      </c>
      <c r="F26" s="67">
        <v>112</v>
      </c>
      <c r="G26" s="64" t="s">
        <v>9</v>
      </c>
      <c r="H26" s="67">
        <v>18</v>
      </c>
      <c r="I26" s="64" t="s">
        <v>9</v>
      </c>
      <c r="J26" s="126"/>
      <c r="K26" s="116"/>
      <c r="L26" s="112">
        <f t="shared" si="0"/>
        <v>1.1200000000000001</v>
      </c>
      <c r="M26" s="46">
        <f t="shared" si="1"/>
        <v>14.3</v>
      </c>
    </row>
    <row r="27" spans="2:13" s="91" customFormat="1" ht="30" customHeight="1">
      <c r="B27" s="64">
        <v>22</v>
      </c>
      <c r="C27" s="121" t="s">
        <v>232</v>
      </c>
      <c r="D27" s="114">
        <v>43720</v>
      </c>
      <c r="E27" s="115" t="s">
        <v>8</v>
      </c>
      <c r="F27" s="67">
        <v>115</v>
      </c>
      <c r="G27" s="64" t="s">
        <v>9</v>
      </c>
      <c r="H27" s="67">
        <v>20</v>
      </c>
      <c r="I27" s="64" t="s">
        <v>9</v>
      </c>
      <c r="J27" s="126"/>
      <c r="K27" s="116"/>
      <c r="L27" s="112">
        <f>CONVERT(F27,"cm","m")</f>
        <v>1.1499999999999999</v>
      </c>
      <c r="M27" s="46">
        <f>ROUND(H27/(L27*L27),1)</f>
        <v>15.1</v>
      </c>
    </row>
    <row r="28" spans="2:13" s="91" customFormat="1" ht="30" customHeight="1">
      <c r="B28" s="64">
        <v>23</v>
      </c>
      <c r="C28" s="121" t="s">
        <v>230</v>
      </c>
      <c r="D28" s="114">
        <v>43724</v>
      </c>
      <c r="E28" s="115" t="s">
        <v>8</v>
      </c>
      <c r="F28" s="67">
        <v>117</v>
      </c>
      <c r="G28" s="64" t="s">
        <v>9</v>
      </c>
      <c r="H28" s="67">
        <v>22</v>
      </c>
      <c r="I28" s="64" t="s">
        <v>9</v>
      </c>
      <c r="J28" s="126"/>
      <c r="K28" s="116"/>
      <c r="L28" s="112">
        <f>CONVERT(F28,"cm","m")</f>
        <v>1.17</v>
      </c>
      <c r="M28" s="46">
        <f>ROUND(H28/(L28*L28),1)</f>
        <v>16.100000000000001</v>
      </c>
    </row>
    <row r="29" spans="2:13" s="91" customFormat="1" ht="30" customHeight="1">
      <c r="B29" s="64">
        <v>24</v>
      </c>
      <c r="C29" s="121" t="s">
        <v>75</v>
      </c>
      <c r="D29" s="114">
        <v>43730</v>
      </c>
      <c r="E29" s="115" t="s">
        <v>11</v>
      </c>
      <c r="F29" s="67">
        <v>106</v>
      </c>
      <c r="G29" s="64" t="s">
        <v>9</v>
      </c>
      <c r="H29" s="67">
        <v>17</v>
      </c>
      <c r="I29" s="64" t="s">
        <v>9</v>
      </c>
      <c r="J29" s="126"/>
      <c r="K29" s="116"/>
      <c r="L29" s="112">
        <f t="shared" si="0"/>
        <v>1.06</v>
      </c>
      <c r="M29" s="46">
        <f t="shared" si="1"/>
        <v>15.1</v>
      </c>
    </row>
    <row r="30" spans="2:13" s="91" customFormat="1" ht="30" customHeight="1">
      <c r="B30" s="64">
        <v>25</v>
      </c>
      <c r="C30" s="127" t="s">
        <v>56</v>
      </c>
      <c r="D30" s="114">
        <v>43749</v>
      </c>
      <c r="E30" s="115" t="s">
        <v>11</v>
      </c>
      <c r="F30" s="64">
        <v>114</v>
      </c>
      <c r="G30" s="64" t="s">
        <v>9</v>
      </c>
      <c r="H30" s="64">
        <v>17</v>
      </c>
      <c r="I30" s="64" t="s">
        <v>9</v>
      </c>
      <c r="J30" s="126"/>
      <c r="K30" s="116"/>
      <c r="L30" s="112">
        <f t="shared" si="0"/>
        <v>1.1399999999999999</v>
      </c>
      <c r="M30" s="46">
        <f t="shared" si="1"/>
        <v>13.1</v>
      </c>
    </row>
    <row r="31" spans="2:13" s="91" customFormat="1" ht="30" customHeight="1">
      <c r="B31" s="64">
        <v>26</v>
      </c>
      <c r="C31" s="121" t="s">
        <v>57</v>
      </c>
      <c r="D31" s="114">
        <v>43754</v>
      </c>
      <c r="E31" s="115" t="s">
        <v>8</v>
      </c>
      <c r="F31" s="67">
        <v>112</v>
      </c>
      <c r="G31" s="64" t="s">
        <v>9</v>
      </c>
      <c r="H31" s="67">
        <v>23</v>
      </c>
      <c r="I31" s="64" t="s">
        <v>25</v>
      </c>
      <c r="J31" s="126"/>
      <c r="K31" s="116"/>
      <c r="L31" s="112">
        <f>CONVERT(F31,"cm","m")</f>
        <v>1.1200000000000001</v>
      </c>
      <c r="M31" s="46">
        <f>ROUND(H31/(L31*L31),1)</f>
        <v>18.3</v>
      </c>
    </row>
    <row r="32" spans="2:13" s="116" customFormat="1" ht="30" customHeight="1">
      <c r="B32" s="64">
        <v>27</v>
      </c>
      <c r="C32" s="121" t="s">
        <v>243</v>
      </c>
      <c r="D32" s="114">
        <v>43763</v>
      </c>
      <c r="E32" s="115" t="s">
        <v>8</v>
      </c>
      <c r="F32" s="67">
        <v>115</v>
      </c>
      <c r="G32" s="64" t="s">
        <v>9</v>
      </c>
      <c r="H32" s="67">
        <v>22</v>
      </c>
      <c r="I32" s="64" t="s">
        <v>9</v>
      </c>
      <c r="J32" s="126"/>
      <c r="L32" s="112">
        <f>CONVERT(F32,"cm","m")</f>
        <v>1.1499999999999999</v>
      </c>
      <c r="M32" s="46">
        <f>ROUND(H32/(L32*L32),1)</f>
        <v>16.600000000000001</v>
      </c>
    </row>
    <row r="33" spans="2:13" s="91" customFormat="1" ht="30" customHeight="1">
      <c r="B33" s="64">
        <v>28</v>
      </c>
      <c r="C33" s="121" t="s">
        <v>73</v>
      </c>
      <c r="D33" s="114">
        <v>43789</v>
      </c>
      <c r="E33" s="115" t="s">
        <v>11</v>
      </c>
      <c r="F33" s="67">
        <v>111</v>
      </c>
      <c r="G33" s="64" t="s">
        <v>9</v>
      </c>
      <c r="H33" s="67">
        <v>18</v>
      </c>
      <c r="I33" s="64" t="s">
        <v>9</v>
      </c>
      <c r="J33" s="126"/>
      <c r="K33" s="116"/>
      <c r="L33" s="112">
        <f t="shared" si="0"/>
        <v>1.1100000000000001</v>
      </c>
      <c r="M33" s="46">
        <f>ROUND(H33/(L33*L33),1)</f>
        <v>14.6</v>
      </c>
    </row>
    <row r="34" spans="2:13" s="91" customFormat="1" ht="30" customHeight="1">
      <c r="B34" s="64">
        <v>29</v>
      </c>
      <c r="C34" s="121" t="s">
        <v>80</v>
      </c>
      <c r="D34" s="114">
        <v>43795</v>
      </c>
      <c r="E34" s="115" t="s">
        <v>11</v>
      </c>
      <c r="F34" s="67">
        <v>119</v>
      </c>
      <c r="G34" s="64" t="s">
        <v>9</v>
      </c>
      <c r="H34" s="67">
        <v>25</v>
      </c>
      <c r="I34" s="64" t="s">
        <v>25</v>
      </c>
      <c r="J34" s="126"/>
      <c r="K34" s="116"/>
      <c r="L34" s="112">
        <f t="shared" si="0"/>
        <v>1.19</v>
      </c>
      <c r="M34" s="46">
        <f>ROUND(H34/(L34*L34),1)</f>
        <v>17.7</v>
      </c>
    </row>
    <row r="35" spans="2:13" s="89" customFormat="1" ht="30" customHeight="1">
      <c r="B35" s="64">
        <v>30</v>
      </c>
      <c r="C35" s="121" t="s">
        <v>277</v>
      </c>
      <c r="D35" s="114">
        <v>43801</v>
      </c>
      <c r="E35" s="115" t="s">
        <v>11</v>
      </c>
      <c r="F35" s="67">
        <v>120</v>
      </c>
      <c r="G35" s="64" t="s">
        <v>9</v>
      </c>
      <c r="H35" s="67">
        <v>24</v>
      </c>
      <c r="I35" s="64" t="s">
        <v>9</v>
      </c>
      <c r="J35" s="126"/>
      <c r="K35" s="116"/>
      <c r="L35" s="112">
        <f t="shared" si="0"/>
        <v>1.2</v>
      </c>
      <c r="M35" s="46">
        <f>ROUND(H35/(L35*L35),1)</f>
        <v>16.7</v>
      </c>
    </row>
    <row r="36" spans="2:13" s="89" customFormat="1" ht="30" customHeight="1">
      <c r="B36" s="64">
        <v>31</v>
      </c>
      <c r="C36" s="121" t="s">
        <v>234</v>
      </c>
      <c r="D36" s="114">
        <v>43807</v>
      </c>
      <c r="E36" s="115" t="s">
        <v>8</v>
      </c>
      <c r="F36" s="67">
        <v>113</v>
      </c>
      <c r="G36" s="64" t="s">
        <v>9</v>
      </c>
      <c r="H36" s="67">
        <v>20</v>
      </c>
      <c r="I36" s="64" t="s">
        <v>9</v>
      </c>
      <c r="J36" s="126"/>
      <c r="K36" s="116"/>
      <c r="L36" s="112">
        <f t="shared" si="0"/>
        <v>1.1299999999999999</v>
      </c>
      <c r="M36" s="46">
        <f t="shared" si="1"/>
        <v>15.7</v>
      </c>
    </row>
    <row r="37" spans="2:13" s="89" customFormat="1" ht="30" customHeight="1">
      <c r="B37" s="64">
        <v>32</v>
      </c>
      <c r="C37" s="121" t="s">
        <v>233</v>
      </c>
      <c r="D37" s="114">
        <v>43823</v>
      </c>
      <c r="E37" s="115" t="s">
        <v>8</v>
      </c>
      <c r="F37" s="67">
        <v>119</v>
      </c>
      <c r="G37" s="64" t="s">
        <v>9</v>
      </c>
      <c r="H37" s="67">
        <v>30</v>
      </c>
      <c r="I37" s="64" t="s">
        <v>10</v>
      </c>
      <c r="J37" s="126"/>
      <c r="K37" s="116"/>
      <c r="L37" s="112">
        <f>CONVERT(F37,"cm","m")</f>
        <v>1.19</v>
      </c>
      <c r="M37" s="46">
        <f>ROUND(H37/(L37*L37),1)</f>
        <v>21.2</v>
      </c>
    </row>
    <row r="38" spans="2:13" s="89" customFormat="1" ht="30" customHeight="1">
      <c r="B38" s="94"/>
      <c r="C38" s="116"/>
      <c r="D38" s="116"/>
      <c r="E38" s="116"/>
      <c r="F38" s="116"/>
      <c r="G38" s="116"/>
      <c r="H38" s="116"/>
      <c r="I38" s="116"/>
      <c r="J38" s="128"/>
      <c r="K38" s="116"/>
      <c r="L38" s="112"/>
      <c r="M38" s="46"/>
    </row>
    <row r="39" spans="2:13" ht="18.75">
      <c r="B39" s="7" t="s">
        <v>283</v>
      </c>
      <c r="C39" s="7"/>
      <c r="D39" s="7"/>
      <c r="E39" s="7"/>
      <c r="F39" s="7"/>
      <c r="G39" s="7"/>
      <c r="H39" s="7"/>
      <c r="I39" s="6"/>
      <c r="J39" s="6"/>
      <c r="K39" s="4"/>
    </row>
    <row r="40" spans="2:13" ht="18.75">
      <c r="B40" s="204" t="s">
        <v>14</v>
      </c>
      <c r="C40" s="204"/>
      <c r="D40" s="204"/>
      <c r="E40" s="204"/>
      <c r="F40" s="204"/>
      <c r="G40" s="204"/>
      <c r="H40" s="204"/>
      <c r="I40" s="7"/>
      <c r="J40" s="7"/>
      <c r="K40" s="8"/>
    </row>
    <row r="41" spans="2:13" ht="18.75">
      <c r="B41" s="79"/>
      <c r="C41" s="205" t="s">
        <v>15</v>
      </c>
      <c r="D41" s="10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3" ht="31.5">
      <c r="B42" s="13"/>
      <c r="C42" s="206"/>
      <c r="D42" s="10" t="s">
        <v>9</v>
      </c>
      <c r="E42" s="10">
        <f>COUNTIFS($G$6:$G$37,"BT",$E$6:$E$37,"Nam")</f>
        <v>13</v>
      </c>
      <c r="F42" s="10">
        <f>COUNTIFS($G$6:$G$37,"BT",$E$6:$E$37,"Nữ")</f>
        <v>19</v>
      </c>
      <c r="G42" s="10">
        <f>SUM(E42:F42)</f>
        <v>32</v>
      </c>
      <c r="H42" s="10">
        <f>ROUND((G42/32*100),1)</f>
        <v>100</v>
      </c>
      <c r="I42" s="14"/>
      <c r="J42" s="15" t="s">
        <v>9</v>
      </c>
      <c r="K42" s="16" t="s">
        <v>19</v>
      </c>
    </row>
    <row r="43" spans="2:13" ht="47.25">
      <c r="B43" s="13"/>
      <c r="C43" s="206"/>
      <c r="D43" s="10" t="s">
        <v>20</v>
      </c>
      <c r="E43" s="10">
        <f>COUNTIFS($G$6:$G$37,"TC.N",$E$6:$E$37,"Nam")</f>
        <v>0</v>
      </c>
      <c r="F43" s="10">
        <f>COUNTIFS($G$6:$G$37,"TC.N",$E$6:$E$37,"Nữ")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3" ht="18.75">
      <c r="B44" s="13"/>
      <c r="C44" s="207"/>
      <c r="D44" s="10" t="s">
        <v>12</v>
      </c>
      <c r="E44" s="10">
        <f>COUNTIFS($G$6:$G$37,"TC",$E$6:$E$37,"Nam")</f>
        <v>0</v>
      </c>
      <c r="F44" s="10">
        <f>COUNTIFS($G$6:$G$37,"TC",$E$6:$E$37,"Nữ")</f>
        <v>0</v>
      </c>
      <c r="G44" s="10">
        <f>SUM(E44:F44)</f>
        <v>0</v>
      </c>
      <c r="H44" s="10">
        <f>ROUND((G44/34*100),1)</f>
        <v>0</v>
      </c>
      <c r="I44" s="14"/>
      <c r="J44" s="15" t="s">
        <v>12</v>
      </c>
      <c r="K44" s="16" t="s">
        <v>22</v>
      </c>
    </row>
    <row r="45" spans="2:13" ht="18.75">
      <c r="B45" s="13"/>
      <c r="C45" s="17" t="s">
        <v>16</v>
      </c>
      <c r="D45" s="10"/>
      <c r="E45" s="18">
        <f>SUM(E42:E44)</f>
        <v>13</v>
      </c>
      <c r="F45" s="18">
        <f>SUM(F42:F44)</f>
        <v>19</v>
      </c>
      <c r="G45" s="18">
        <f>SUM(G42:G44)</f>
        <v>32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3" ht="18.75">
      <c r="B46" s="13"/>
      <c r="C46" s="208" t="s">
        <v>24</v>
      </c>
      <c r="D46" s="10" t="s">
        <v>9</v>
      </c>
      <c r="E46" s="18">
        <f>COUNTIFS($I$6:$I$37,"BT",$E$6:$E$37,"Nam")</f>
        <v>9</v>
      </c>
      <c r="F46" s="18">
        <f>COUNTIFS($I$6:$I$37,"BT",$E$6:$E$37,"Nữ")</f>
        <v>15</v>
      </c>
      <c r="G46" s="18">
        <f t="shared" ref="G46:G52" si="3">SUM(E46:F46)</f>
        <v>24</v>
      </c>
      <c r="H46" s="18">
        <f>ROUND((G46/32*100),1)</f>
        <v>75</v>
      </c>
      <c r="I46" s="19"/>
      <c r="J46" s="20" t="s">
        <v>25</v>
      </c>
      <c r="K46" s="16" t="s">
        <v>26</v>
      </c>
    </row>
    <row r="47" spans="2:13" ht="47.25">
      <c r="B47" s="13"/>
      <c r="C47" s="209"/>
      <c r="D47" s="10" t="s">
        <v>10</v>
      </c>
      <c r="E47" s="18">
        <f>COUNTIFS($I$6:$I$37,"BP",$E$6:$E$37,"Nam")</f>
        <v>3</v>
      </c>
      <c r="F47" s="18">
        <f>COUNTIFS($I$6:$I$37,"BP",$E$6:$E$37,"Nữ")</f>
        <v>0</v>
      </c>
      <c r="G47" s="18">
        <f t="shared" si="3"/>
        <v>3</v>
      </c>
      <c r="H47" s="18">
        <f>ROUND((G47/32*100),1)</f>
        <v>9.4</v>
      </c>
      <c r="I47" s="19"/>
      <c r="J47" s="21" t="s">
        <v>27</v>
      </c>
      <c r="K47" s="16" t="s">
        <v>28</v>
      </c>
    </row>
    <row r="48" spans="2:13" ht="18.75">
      <c r="B48" s="13"/>
      <c r="C48" s="209"/>
      <c r="D48" s="10" t="s">
        <v>25</v>
      </c>
      <c r="E48" s="18">
        <f>COUNTIFS($I$6:$I$37,"Th.C",$E$6:$E$37,"Nam")</f>
        <v>1</v>
      </c>
      <c r="F48" s="18">
        <f>COUNTIFS($I$6:$I$37,"Th.C",$E$6:$E$37,"Nữ")</f>
        <v>4</v>
      </c>
      <c r="G48" s="18">
        <f t="shared" si="3"/>
        <v>5</v>
      </c>
      <c r="H48" s="18">
        <f>ROUND((G48/32*100),1)</f>
        <v>15.6</v>
      </c>
      <c r="I48" s="19"/>
      <c r="J48" s="22" t="s">
        <v>13</v>
      </c>
      <c r="K48" s="15" t="s">
        <v>29</v>
      </c>
    </row>
    <row r="49" spans="2:11" ht="18.75">
      <c r="B49" s="13"/>
      <c r="C49" s="209"/>
      <c r="D49" s="10" t="s">
        <v>27</v>
      </c>
      <c r="E49" s="18">
        <f>COUNTIFS($I$6:$I$37,"NC.N",$E$6:$E$37,"Nam")</f>
        <v>0</v>
      </c>
      <c r="F49" s="18">
        <f>COUNTIFS($I$6:$I$37,"NC.N",$E$6:$E$37,"Nữ")</f>
        <v>0</v>
      </c>
      <c r="G49" s="18">
        <f t="shared" si="3"/>
        <v>0</v>
      </c>
      <c r="H49" s="18">
        <f>ROUND((G49/34*100),1)</f>
        <v>0</v>
      </c>
      <c r="I49" s="19"/>
      <c r="J49" s="22" t="s">
        <v>30</v>
      </c>
      <c r="K49" s="23" t="s">
        <v>31</v>
      </c>
    </row>
    <row r="50" spans="2:11" ht="47.25">
      <c r="B50" s="13"/>
      <c r="C50" s="209"/>
      <c r="D50" s="10" t="s">
        <v>13</v>
      </c>
      <c r="E50" s="18">
        <f>COUNTIFS($I$6:$I$37,"NC",$E$6:$E$37,"Nam")</f>
        <v>0</v>
      </c>
      <c r="F50" s="18">
        <f>COUNTIFS($I$6:$I$37,"NC",$E$6:$E$37,"Nữ")</f>
        <v>0</v>
      </c>
      <c r="G50" s="18">
        <f t="shared" si="3"/>
        <v>0</v>
      </c>
      <c r="H50" s="18">
        <f>ROUND((G50/32*100),1)</f>
        <v>0</v>
      </c>
      <c r="I50" s="19"/>
      <c r="J50" s="24" t="s">
        <v>32</v>
      </c>
      <c r="K50" s="16" t="s">
        <v>33</v>
      </c>
    </row>
    <row r="51" spans="2:11" ht="18.75">
      <c r="B51" s="13"/>
      <c r="C51" s="209"/>
      <c r="D51" s="10" t="s">
        <v>30</v>
      </c>
      <c r="E51" s="18">
        <f>COUNTIFS($I$6:$I$37,"GC",$E$6:$E$37,"Nam")</f>
        <v>0</v>
      </c>
      <c r="F51" s="18">
        <f>COUNTIFS($I$6:$I$37,"GC",$E$6:$E$37,"Nữ")</f>
        <v>0</v>
      </c>
      <c r="G51" s="18">
        <f t="shared" si="3"/>
        <v>0</v>
      </c>
      <c r="H51" s="18">
        <f>ROUND((G51/32*100),1)</f>
        <v>0</v>
      </c>
      <c r="I51" s="19"/>
      <c r="J51" s="25"/>
    </row>
    <row r="52" spans="2:11" ht="18.75">
      <c r="B52" s="26"/>
      <c r="C52" s="210"/>
      <c r="D52" s="27" t="s">
        <v>32</v>
      </c>
      <c r="E52" s="18">
        <f>COUNTIFS($I$6:$I$37,"GC.N",$E$6:$E$37,"Nam")</f>
        <v>0</v>
      </c>
      <c r="F52" s="18">
        <f>COUNTIFS($I$6:$I$37,"GC.N",$E$6:$E$37,"Nữ")</f>
        <v>0</v>
      </c>
      <c r="G52" s="18">
        <f t="shared" si="3"/>
        <v>0</v>
      </c>
      <c r="H52" s="18">
        <f>ROUND((G52/34*100),1)</f>
        <v>0</v>
      </c>
      <c r="I52" s="19"/>
      <c r="J52" s="25"/>
    </row>
    <row r="53" spans="2:11" ht="18.75">
      <c r="B53" s="26"/>
      <c r="C53" s="17" t="s">
        <v>16</v>
      </c>
      <c r="D53" s="27"/>
      <c r="E53" s="28">
        <f>SUM(E46:E52)</f>
        <v>13</v>
      </c>
      <c r="F53" s="28">
        <f>SUM(F46:F52)</f>
        <v>19</v>
      </c>
      <c r="G53" s="28">
        <f>SUM(G46:G52)</f>
        <v>32</v>
      </c>
      <c r="H53" s="28">
        <f>SUM(H46:H52)</f>
        <v>100</v>
      </c>
      <c r="I53" s="29"/>
      <c r="J53" s="78"/>
      <c r="K53" s="26"/>
    </row>
    <row r="54" spans="2:11" ht="18.75">
      <c r="B54" s="26"/>
      <c r="C54" s="26"/>
      <c r="G54" s="60"/>
      <c r="H54" s="61"/>
      <c r="I54" s="77" t="s">
        <v>289</v>
      </c>
      <c r="J54" s="77"/>
      <c r="K54" s="77"/>
    </row>
    <row r="55" spans="2:11" ht="15.75">
      <c r="B55" s="32"/>
      <c r="C55" s="32"/>
      <c r="G55" s="31"/>
      <c r="H55" s="33"/>
      <c r="I55" s="80" t="s">
        <v>34</v>
      </c>
      <c r="J55" s="80"/>
      <c r="K55" s="80"/>
    </row>
    <row r="56" spans="2:11" ht="15.75">
      <c r="B56" s="32"/>
      <c r="C56" s="32"/>
      <c r="D56" s="31"/>
      <c r="E56" s="33"/>
      <c r="F56" s="32"/>
      <c r="G56" s="225" t="s">
        <v>113</v>
      </c>
      <c r="H56" s="225"/>
      <c r="I56" s="225"/>
      <c r="J56" s="225"/>
      <c r="K56" s="225"/>
    </row>
    <row r="57" spans="2:11" ht="15.75">
      <c r="B57" s="32"/>
      <c r="C57" s="32"/>
      <c r="D57" s="31"/>
      <c r="E57" s="33"/>
      <c r="F57" s="32"/>
      <c r="G57" s="225" t="s">
        <v>291</v>
      </c>
      <c r="H57" s="225"/>
      <c r="I57" s="225"/>
      <c r="J57" s="225"/>
      <c r="K57" s="225"/>
    </row>
  </sheetData>
  <sortState ref="C6:E37">
    <sortCondition ref="D6:D37"/>
  </sortState>
  <mergeCells count="16">
    <mergeCell ref="G56:K56"/>
    <mergeCell ref="G57:K57"/>
    <mergeCell ref="J3:J5"/>
    <mergeCell ref="B40:H40"/>
    <mergeCell ref="C41:C44"/>
    <mergeCell ref="C46:C52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3:D34"/>
  </dataValidations>
  <pageMargins left="0.39" right="0.24" top="0.61" bottom="0.5" header="0.25" footer="0.3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N57"/>
  <sheetViews>
    <sheetView topLeftCell="A46" workbookViewId="0">
      <selection activeCell="F43" sqref="F43"/>
    </sheetView>
  </sheetViews>
  <sheetFormatPr defaultRowHeight="15"/>
  <cols>
    <col min="1" max="1" width="6" customWidth="1"/>
    <col min="2" max="2" width="5.28515625" customWidth="1"/>
    <col min="3" max="3" width="24.28515625" customWidth="1"/>
    <col min="4" max="4" width="8.7109375" customWidth="1"/>
    <col min="5" max="5" width="6.140625" customWidth="1"/>
    <col min="6" max="6" width="7" customWidth="1"/>
    <col min="7" max="7" width="7.28515625" customWidth="1"/>
    <col min="8" max="10" width="7.5703125" customWidth="1"/>
  </cols>
  <sheetData>
    <row r="1" spans="2:14" ht="20.25">
      <c r="B1" s="211" t="s">
        <v>106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2:14" ht="18.75">
      <c r="B2" s="204" t="s">
        <v>107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2:14" ht="20.25" customHeight="1">
      <c r="B3" s="212" t="s">
        <v>0</v>
      </c>
      <c r="C3" s="212" t="s">
        <v>1</v>
      </c>
      <c r="D3" s="226" t="s">
        <v>2</v>
      </c>
      <c r="E3" s="218" t="s">
        <v>3</v>
      </c>
      <c r="F3" s="219" t="s">
        <v>4</v>
      </c>
      <c r="G3" s="218" t="s">
        <v>5</v>
      </c>
      <c r="H3" s="219" t="s">
        <v>6</v>
      </c>
      <c r="I3" s="218" t="s">
        <v>5</v>
      </c>
      <c r="J3" s="222" t="s">
        <v>7</v>
      </c>
      <c r="K3" s="1"/>
      <c r="L3" s="46"/>
      <c r="M3" s="46"/>
    </row>
    <row r="4" spans="2:14" ht="18.75">
      <c r="B4" s="213"/>
      <c r="C4" s="213"/>
      <c r="D4" s="227"/>
      <c r="E4" s="213"/>
      <c r="F4" s="220"/>
      <c r="G4" s="213"/>
      <c r="H4" s="220"/>
      <c r="I4" s="213"/>
      <c r="J4" s="223"/>
      <c r="K4" s="2"/>
      <c r="L4" s="46"/>
      <c r="M4" s="46"/>
    </row>
    <row r="5" spans="2:14" ht="18">
      <c r="B5" s="214"/>
      <c r="C5" s="214"/>
      <c r="D5" s="228"/>
      <c r="E5" s="214"/>
      <c r="F5" s="221"/>
      <c r="G5" s="214"/>
      <c r="H5" s="221"/>
      <c r="I5" s="214"/>
      <c r="J5" s="223"/>
      <c r="K5" s="3"/>
      <c r="L5" s="47"/>
      <c r="M5" s="46"/>
    </row>
    <row r="6" spans="2:14" s="116" customFormat="1" ht="30" customHeight="1">
      <c r="B6" s="64">
        <v>1</v>
      </c>
      <c r="C6" s="121" t="s">
        <v>58</v>
      </c>
      <c r="D6" s="114">
        <v>43468</v>
      </c>
      <c r="E6" s="115" t="s">
        <v>8</v>
      </c>
      <c r="F6" s="67">
        <v>115</v>
      </c>
      <c r="G6" s="64" t="s">
        <v>9</v>
      </c>
      <c r="H6" s="67">
        <v>20</v>
      </c>
      <c r="I6" s="64" t="s">
        <v>9</v>
      </c>
      <c r="J6" s="95"/>
      <c r="L6" s="117">
        <f>CONVERT(F6,"cm","m")</f>
        <v>1.1499999999999999</v>
      </c>
      <c r="M6" s="46">
        <f>ROUND(H6/(L6*L6),1)</f>
        <v>15.1</v>
      </c>
    </row>
    <row r="7" spans="2:14" s="116" customFormat="1" ht="30" customHeight="1">
      <c r="B7" s="64">
        <v>2</v>
      </c>
      <c r="C7" s="121" t="s">
        <v>256</v>
      </c>
      <c r="D7" s="114">
        <v>43471</v>
      </c>
      <c r="E7" s="115" t="s">
        <v>11</v>
      </c>
      <c r="F7" s="67">
        <v>115</v>
      </c>
      <c r="G7" s="64" t="s">
        <v>9</v>
      </c>
      <c r="H7" s="67">
        <v>21</v>
      </c>
      <c r="I7" s="64" t="s">
        <v>9</v>
      </c>
      <c r="J7" s="95"/>
      <c r="L7" s="117">
        <f t="shared" ref="L7:L38" si="0">CONVERT(F7,"cm","m")</f>
        <v>1.1499999999999999</v>
      </c>
      <c r="M7" s="46">
        <f t="shared" ref="M7:M37" si="1">ROUND(H7/(L7*L7),1)</f>
        <v>15.9</v>
      </c>
    </row>
    <row r="8" spans="2:14" s="116" customFormat="1" ht="30" customHeight="1">
      <c r="B8" s="64">
        <v>3</v>
      </c>
      <c r="C8" s="121" t="s">
        <v>251</v>
      </c>
      <c r="D8" s="114">
        <v>43479</v>
      </c>
      <c r="E8" s="115" t="s">
        <v>11</v>
      </c>
      <c r="F8" s="67">
        <v>112</v>
      </c>
      <c r="G8" s="64" t="s">
        <v>9</v>
      </c>
      <c r="H8" s="67">
        <v>19</v>
      </c>
      <c r="I8" s="64" t="s">
        <v>9</v>
      </c>
      <c r="J8" s="95"/>
      <c r="L8" s="117">
        <f t="shared" si="0"/>
        <v>1.1200000000000001</v>
      </c>
      <c r="M8" s="46">
        <f t="shared" si="1"/>
        <v>15.1</v>
      </c>
    </row>
    <row r="9" spans="2:14" s="116" customFormat="1" ht="30" customHeight="1">
      <c r="B9" s="64">
        <v>4</v>
      </c>
      <c r="C9" s="122" t="s">
        <v>95</v>
      </c>
      <c r="D9" s="84">
        <v>43506</v>
      </c>
      <c r="E9" s="115" t="s">
        <v>11</v>
      </c>
      <c r="F9" s="67">
        <v>117</v>
      </c>
      <c r="G9" s="64" t="s">
        <v>9</v>
      </c>
      <c r="H9" s="67">
        <v>19</v>
      </c>
      <c r="I9" s="64" t="s">
        <v>9</v>
      </c>
      <c r="J9" s="95"/>
      <c r="L9" s="117">
        <f t="shared" si="0"/>
        <v>1.17</v>
      </c>
      <c r="M9" s="46">
        <f t="shared" ref="M9:M21" si="2">ROUND(H9/(L9*L9),1)</f>
        <v>13.9</v>
      </c>
    </row>
    <row r="10" spans="2:14" s="116" customFormat="1" ht="30" customHeight="1">
      <c r="B10" s="64">
        <v>5</v>
      </c>
      <c r="C10" s="121" t="s">
        <v>259</v>
      </c>
      <c r="D10" s="114">
        <v>43517</v>
      </c>
      <c r="E10" s="115" t="s">
        <v>11</v>
      </c>
      <c r="F10" s="67">
        <v>113</v>
      </c>
      <c r="G10" s="64" t="s">
        <v>9</v>
      </c>
      <c r="H10" s="67">
        <v>18</v>
      </c>
      <c r="I10" s="64" t="s">
        <v>9</v>
      </c>
      <c r="J10" s="95"/>
      <c r="L10" s="117">
        <f t="shared" si="0"/>
        <v>1.1299999999999999</v>
      </c>
      <c r="M10" s="46">
        <f t="shared" si="2"/>
        <v>14.1</v>
      </c>
    </row>
    <row r="11" spans="2:14" s="116" customFormat="1" ht="30" customHeight="1">
      <c r="B11" s="64">
        <v>6</v>
      </c>
      <c r="C11" s="121" t="s">
        <v>260</v>
      </c>
      <c r="D11" s="114">
        <v>43519</v>
      </c>
      <c r="E11" s="115" t="s">
        <v>8</v>
      </c>
      <c r="F11" s="67">
        <v>114</v>
      </c>
      <c r="G11" s="64" t="s">
        <v>9</v>
      </c>
      <c r="H11" s="67">
        <v>18</v>
      </c>
      <c r="I11" s="64" t="s">
        <v>9</v>
      </c>
      <c r="J11" s="95"/>
      <c r="L11" s="117">
        <f>CONVERT(F11,"cm","m")</f>
        <v>1.1399999999999999</v>
      </c>
      <c r="M11" s="46">
        <f t="shared" si="2"/>
        <v>13.9</v>
      </c>
    </row>
    <row r="12" spans="2:14" s="116" customFormat="1" ht="30" customHeight="1">
      <c r="B12" s="64">
        <v>7</v>
      </c>
      <c r="C12" s="121" t="s">
        <v>108</v>
      </c>
      <c r="D12" s="114">
        <v>43524</v>
      </c>
      <c r="E12" s="115" t="s">
        <v>8</v>
      </c>
      <c r="F12" s="67">
        <v>127</v>
      </c>
      <c r="G12" s="64" t="s">
        <v>9</v>
      </c>
      <c r="H12" s="67">
        <v>31</v>
      </c>
      <c r="I12" s="64" t="s">
        <v>10</v>
      </c>
      <c r="J12" s="95"/>
      <c r="L12" s="117">
        <f>CONVERT(F12,"cm","m")</f>
        <v>1.27</v>
      </c>
      <c r="M12" s="46">
        <f t="shared" si="2"/>
        <v>19.2</v>
      </c>
    </row>
    <row r="13" spans="2:14" s="116" customFormat="1" ht="30" customHeight="1">
      <c r="B13" s="64">
        <v>8</v>
      </c>
      <c r="C13" s="121" t="s">
        <v>253</v>
      </c>
      <c r="D13" s="114">
        <v>43548</v>
      </c>
      <c r="E13" s="115" t="s">
        <v>11</v>
      </c>
      <c r="F13" s="67">
        <v>113</v>
      </c>
      <c r="G13" s="64" t="s">
        <v>9</v>
      </c>
      <c r="H13" s="67">
        <v>18</v>
      </c>
      <c r="I13" s="64" t="s">
        <v>9</v>
      </c>
      <c r="J13" s="95"/>
      <c r="L13" s="117">
        <f t="shared" si="0"/>
        <v>1.1299999999999999</v>
      </c>
      <c r="M13" s="46">
        <f t="shared" si="2"/>
        <v>14.1</v>
      </c>
    </row>
    <row r="14" spans="2:14" s="116" customFormat="1" ht="30" customHeight="1">
      <c r="B14" s="64">
        <v>9</v>
      </c>
      <c r="C14" s="121" t="s">
        <v>252</v>
      </c>
      <c r="D14" s="114">
        <v>43558</v>
      </c>
      <c r="E14" s="115" t="s">
        <v>11</v>
      </c>
      <c r="F14" s="67">
        <v>110</v>
      </c>
      <c r="G14" s="64" t="s">
        <v>9</v>
      </c>
      <c r="H14" s="67">
        <v>18</v>
      </c>
      <c r="I14" s="64" t="s">
        <v>9</v>
      </c>
      <c r="J14" s="95"/>
      <c r="L14" s="117">
        <f t="shared" si="0"/>
        <v>1.1000000000000001</v>
      </c>
      <c r="M14" s="46">
        <f t="shared" si="2"/>
        <v>14.9</v>
      </c>
    </row>
    <row r="15" spans="2:14" s="116" customFormat="1" ht="30" customHeight="1">
      <c r="B15" s="64">
        <v>10</v>
      </c>
      <c r="C15" s="121" t="s">
        <v>249</v>
      </c>
      <c r="D15" s="114">
        <v>43561</v>
      </c>
      <c r="E15" s="115" t="s">
        <v>11</v>
      </c>
      <c r="F15" s="67">
        <v>117</v>
      </c>
      <c r="G15" s="64" t="s">
        <v>9</v>
      </c>
      <c r="H15" s="67">
        <v>22</v>
      </c>
      <c r="I15" s="64" t="s">
        <v>9</v>
      </c>
      <c r="J15" s="95"/>
      <c r="L15" s="117">
        <f t="shared" si="0"/>
        <v>1.17</v>
      </c>
      <c r="M15" s="46">
        <f t="shared" si="2"/>
        <v>16.100000000000001</v>
      </c>
      <c r="N15" s="91"/>
    </row>
    <row r="16" spans="2:14" s="116" customFormat="1" ht="30" customHeight="1">
      <c r="B16" s="64">
        <v>11</v>
      </c>
      <c r="C16" s="121" t="s">
        <v>248</v>
      </c>
      <c r="D16" s="114">
        <v>43577</v>
      </c>
      <c r="E16" s="115" t="s">
        <v>8</v>
      </c>
      <c r="F16" s="67">
        <v>113</v>
      </c>
      <c r="G16" s="64" t="s">
        <v>9</v>
      </c>
      <c r="H16" s="67">
        <v>21</v>
      </c>
      <c r="I16" s="64" t="s">
        <v>9</v>
      </c>
      <c r="J16" s="95"/>
      <c r="L16" s="117">
        <f>CONVERT(F16,"cm","m")</f>
        <v>1.1299999999999999</v>
      </c>
      <c r="M16" s="46">
        <f t="shared" si="2"/>
        <v>16.399999999999999</v>
      </c>
    </row>
    <row r="17" spans="2:13" s="116" customFormat="1" ht="30" customHeight="1">
      <c r="B17" s="64">
        <v>12</v>
      </c>
      <c r="C17" s="122" t="s">
        <v>262</v>
      </c>
      <c r="D17" s="109">
        <v>43581</v>
      </c>
      <c r="E17" s="115" t="s">
        <v>8</v>
      </c>
      <c r="F17" s="67">
        <v>118</v>
      </c>
      <c r="G17" s="64" t="s">
        <v>9</v>
      </c>
      <c r="H17" s="67">
        <v>23</v>
      </c>
      <c r="I17" s="64" t="s">
        <v>9</v>
      </c>
      <c r="J17" s="95"/>
      <c r="L17" s="117">
        <f t="shared" si="0"/>
        <v>1.18</v>
      </c>
      <c r="M17" s="46">
        <f t="shared" si="2"/>
        <v>16.5</v>
      </c>
    </row>
    <row r="18" spans="2:13" s="116" customFormat="1" ht="30" customHeight="1">
      <c r="B18" s="64">
        <v>13</v>
      </c>
      <c r="C18" s="121" t="s">
        <v>126</v>
      </c>
      <c r="D18" s="114">
        <v>43597</v>
      </c>
      <c r="E18" s="115" t="s">
        <v>8</v>
      </c>
      <c r="F18" s="67">
        <v>119</v>
      </c>
      <c r="G18" s="64" t="s">
        <v>9</v>
      </c>
      <c r="H18" s="67">
        <v>23</v>
      </c>
      <c r="I18" s="64" t="s">
        <v>9</v>
      </c>
      <c r="J18" s="95"/>
      <c r="L18" s="117">
        <f>CONVERT(F18,"cm","m")</f>
        <v>1.19</v>
      </c>
      <c r="M18" s="46">
        <f t="shared" si="2"/>
        <v>16.2</v>
      </c>
    </row>
    <row r="19" spans="2:13" s="116" customFormat="1" ht="30" customHeight="1">
      <c r="B19" s="64">
        <v>14</v>
      </c>
      <c r="C19" s="121" t="s">
        <v>52</v>
      </c>
      <c r="D19" s="114">
        <v>43618</v>
      </c>
      <c r="E19" s="115" t="s">
        <v>8</v>
      </c>
      <c r="F19" s="67">
        <v>104</v>
      </c>
      <c r="G19" s="64" t="s">
        <v>9</v>
      </c>
      <c r="H19" s="67">
        <v>16</v>
      </c>
      <c r="I19" s="64" t="s">
        <v>9</v>
      </c>
      <c r="J19" s="95"/>
      <c r="L19" s="117">
        <f>CONVERT(F19,"cm","m")</f>
        <v>1.04</v>
      </c>
      <c r="M19" s="46">
        <f t="shared" si="2"/>
        <v>14.8</v>
      </c>
    </row>
    <row r="20" spans="2:13" s="116" customFormat="1" ht="30" customHeight="1">
      <c r="B20" s="64">
        <v>15</v>
      </c>
      <c r="C20" s="121" t="s">
        <v>246</v>
      </c>
      <c r="D20" s="114">
        <v>43628</v>
      </c>
      <c r="E20" s="115" t="s">
        <v>8</v>
      </c>
      <c r="F20" s="67">
        <v>114</v>
      </c>
      <c r="G20" s="64" t="s">
        <v>9</v>
      </c>
      <c r="H20" s="67">
        <v>18</v>
      </c>
      <c r="I20" s="64" t="s">
        <v>9</v>
      </c>
      <c r="J20" s="95"/>
      <c r="L20" s="117">
        <f t="shared" si="0"/>
        <v>1.1399999999999999</v>
      </c>
      <c r="M20" s="46">
        <f t="shared" si="2"/>
        <v>13.9</v>
      </c>
    </row>
    <row r="21" spans="2:13" s="116" customFormat="1" ht="30" customHeight="1">
      <c r="B21" s="64">
        <v>16</v>
      </c>
      <c r="C21" s="121" t="s">
        <v>59</v>
      </c>
      <c r="D21" s="114">
        <v>43629</v>
      </c>
      <c r="E21" s="115" t="s">
        <v>8</v>
      </c>
      <c r="F21" s="67">
        <v>108</v>
      </c>
      <c r="G21" s="64" t="s">
        <v>9</v>
      </c>
      <c r="H21" s="67">
        <v>18</v>
      </c>
      <c r="I21" s="64" t="s">
        <v>9</v>
      </c>
      <c r="J21" s="95"/>
      <c r="L21" s="117">
        <f>CONVERT(F21,"cm","m")</f>
        <v>1.08</v>
      </c>
      <c r="M21" s="46">
        <f t="shared" si="2"/>
        <v>15.4</v>
      </c>
    </row>
    <row r="22" spans="2:13" s="116" customFormat="1" ht="30" customHeight="1">
      <c r="B22" s="64">
        <v>17</v>
      </c>
      <c r="C22" s="121" t="s">
        <v>81</v>
      </c>
      <c r="D22" s="114">
        <v>43634</v>
      </c>
      <c r="E22" s="115" t="s">
        <v>8</v>
      </c>
      <c r="F22" s="67">
        <v>110</v>
      </c>
      <c r="G22" s="64" t="s">
        <v>9</v>
      </c>
      <c r="H22" s="67">
        <v>20</v>
      </c>
      <c r="I22" s="64" t="s">
        <v>9</v>
      </c>
      <c r="J22" s="95"/>
      <c r="L22" s="117">
        <f t="shared" si="0"/>
        <v>1.1000000000000001</v>
      </c>
      <c r="M22" s="46">
        <f t="shared" si="1"/>
        <v>16.5</v>
      </c>
    </row>
    <row r="23" spans="2:13" s="116" customFormat="1" ht="30" customHeight="1">
      <c r="B23" s="64">
        <v>18</v>
      </c>
      <c r="C23" s="121" t="s">
        <v>250</v>
      </c>
      <c r="D23" s="114">
        <v>43644</v>
      </c>
      <c r="E23" s="115" t="s">
        <v>11</v>
      </c>
      <c r="F23" s="64">
        <v>115</v>
      </c>
      <c r="G23" s="64" t="s">
        <v>9</v>
      </c>
      <c r="H23" s="64">
        <v>22</v>
      </c>
      <c r="I23" s="64" t="s">
        <v>9</v>
      </c>
      <c r="J23" s="95"/>
      <c r="L23" s="117">
        <f t="shared" si="0"/>
        <v>1.1499999999999999</v>
      </c>
      <c r="M23" s="46">
        <f t="shared" si="1"/>
        <v>16.600000000000001</v>
      </c>
    </row>
    <row r="24" spans="2:13" s="116" customFormat="1" ht="30" customHeight="1">
      <c r="B24" s="64">
        <v>19</v>
      </c>
      <c r="C24" s="121" t="s">
        <v>78</v>
      </c>
      <c r="D24" s="114">
        <v>43664</v>
      </c>
      <c r="E24" s="115" t="s">
        <v>11</v>
      </c>
      <c r="F24" s="67">
        <v>118</v>
      </c>
      <c r="G24" s="64" t="s">
        <v>9</v>
      </c>
      <c r="H24" s="67">
        <v>28</v>
      </c>
      <c r="I24" s="64" t="s">
        <v>10</v>
      </c>
      <c r="J24" s="95"/>
      <c r="L24" s="117">
        <f t="shared" si="0"/>
        <v>1.18</v>
      </c>
      <c r="M24" s="46">
        <f t="shared" ref="M24:M30" si="3">ROUND(H24/(L24*L24),1)</f>
        <v>20.100000000000001</v>
      </c>
    </row>
    <row r="25" spans="2:13" s="116" customFormat="1" ht="30" customHeight="1">
      <c r="B25" s="64">
        <v>20</v>
      </c>
      <c r="C25" s="121" t="s">
        <v>245</v>
      </c>
      <c r="D25" s="114">
        <v>43670</v>
      </c>
      <c r="E25" s="115" t="s">
        <v>8</v>
      </c>
      <c r="F25" s="67">
        <v>118</v>
      </c>
      <c r="G25" s="64" t="s">
        <v>9</v>
      </c>
      <c r="H25" s="67">
        <v>26</v>
      </c>
      <c r="I25" s="64" t="s">
        <v>10</v>
      </c>
      <c r="J25" s="95"/>
      <c r="L25" s="117">
        <f>CONVERT(F25,"cm","m")</f>
        <v>1.18</v>
      </c>
      <c r="M25" s="46">
        <f t="shared" si="3"/>
        <v>18.7</v>
      </c>
    </row>
    <row r="26" spans="2:13" s="116" customFormat="1" ht="30" customHeight="1">
      <c r="B26" s="64">
        <v>21</v>
      </c>
      <c r="C26" s="121" t="s">
        <v>254</v>
      </c>
      <c r="D26" s="114">
        <v>43677</v>
      </c>
      <c r="E26" s="115" t="s">
        <v>11</v>
      </c>
      <c r="F26" s="67">
        <v>112</v>
      </c>
      <c r="G26" s="64" t="s">
        <v>9</v>
      </c>
      <c r="H26" s="67">
        <v>18</v>
      </c>
      <c r="I26" s="64" t="s">
        <v>9</v>
      </c>
      <c r="J26" s="95"/>
      <c r="L26" s="117">
        <f>CONVERT(F26,"cm","m")</f>
        <v>1.1200000000000001</v>
      </c>
      <c r="M26" s="46">
        <f t="shared" si="3"/>
        <v>14.3</v>
      </c>
    </row>
    <row r="27" spans="2:13" s="116" customFormat="1" ht="30" customHeight="1">
      <c r="B27" s="64">
        <v>22</v>
      </c>
      <c r="C27" s="121" t="s">
        <v>244</v>
      </c>
      <c r="D27" s="114">
        <v>43715</v>
      </c>
      <c r="E27" s="115" t="s">
        <v>8</v>
      </c>
      <c r="F27" s="67">
        <v>117</v>
      </c>
      <c r="G27" s="64" t="s">
        <v>9</v>
      </c>
      <c r="H27" s="67">
        <v>23</v>
      </c>
      <c r="I27" s="64" t="s">
        <v>25</v>
      </c>
      <c r="J27" s="95"/>
      <c r="L27" s="117">
        <f t="shared" si="0"/>
        <v>1.17</v>
      </c>
      <c r="M27" s="46">
        <f t="shared" si="3"/>
        <v>16.8</v>
      </c>
    </row>
    <row r="28" spans="2:13" s="116" customFormat="1" ht="30" customHeight="1">
      <c r="B28" s="64">
        <v>23</v>
      </c>
      <c r="C28" s="121" t="s">
        <v>257</v>
      </c>
      <c r="D28" s="114">
        <v>43725</v>
      </c>
      <c r="E28" s="115" t="s">
        <v>8</v>
      </c>
      <c r="F28" s="67">
        <v>117</v>
      </c>
      <c r="G28" s="64" t="s">
        <v>9</v>
      </c>
      <c r="H28" s="67">
        <v>23</v>
      </c>
      <c r="I28" s="64" t="s">
        <v>9</v>
      </c>
      <c r="J28" s="95"/>
      <c r="L28" s="117">
        <f>CONVERT(F28,"cm","m")</f>
        <v>1.17</v>
      </c>
      <c r="M28" s="46">
        <f t="shared" si="3"/>
        <v>16.8</v>
      </c>
    </row>
    <row r="29" spans="2:13" s="116" customFormat="1" ht="30" customHeight="1">
      <c r="B29" s="64">
        <v>24</v>
      </c>
      <c r="C29" s="121" t="s">
        <v>50</v>
      </c>
      <c r="D29" s="114">
        <v>43726</v>
      </c>
      <c r="E29" s="115" t="s">
        <v>11</v>
      </c>
      <c r="F29" s="67">
        <v>118</v>
      </c>
      <c r="G29" s="64" t="s">
        <v>9</v>
      </c>
      <c r="H29" s="67">
        <v>25</v>
      </c>
      <c r="I29" s="64" t="s">
        <v>25</v>
      </c>
      <c r="J29" s="95"/>
      <c r="L29" s="117">
        <f>CONVERT(F29,"cm","m")</f>
        <v>1.18</v>
      </c>
      <c r="M29" s="46">
        <f t="shared" si="3"/>
        <v>18</v>
      </c>
    </row>
    <row r="30" spans="2:13" s="116" customFormat="1" ht="30" customHeight="1">
      <c r="B30" s="64">
        <v>25</v>
      </c>
      <c r="C30" s="121" t="s">
        <v>247</v>
      </c>
      <c r="D30" s="114">
        <v>43744</v>
      </c>
      <c r="E30" s="115" t="s">
        <v>8</v>
      </c>
      <c r="F30" s="67">
        <v>125</v>
      </c>
      <c r="G30" s="64" t="s">
        <v>9</v>
      </c>
      <c r="H30" s="67">
        <v>32</v>
      </c>
      <c r="I30" s="64" t="s">
        <v>10</v>
      </c>
      <c r="J30" s="95"/>
      <c r="L30" s="117">
        <f t="shared" si="0"/>
        <v>1.25</v>
      </c>
      <c r="M30" s="46">
        <f t="shared" si="3"/>
        <v>20.5</v>
      </c>
    </row>
    <row r="31" spans="2:13" s="116" customFormat="1" ht="30" customHeight="1">
      <c r="B31" s="64">
        <v>26</v>
      </c>
      <c r="C31" s="121" t="s">
        <v>91</v>
      </c>
      <c r="D31" s="114">
        <v>43757</v>
      </c>
      <c r="E31" s="115" t="s">
        <v>8</v>
      </c>
      <c r="F31" s="67">
        <v>117</v>
      </c>
      <c r="G31" s="64" t="s">
        <v>9</v>
      </c>
      <c r="H31" s="67">
        <v>23</v>
      </c>
      <c r="I31" s="64" t="s">
        <v>25</v>
      </c>
      <c r="J31" s="95"/>
      <c r="L31" s="117">
        <f t="shared" si="0"/>
        <v>1.17</v>
      </c>
      <c r="M31" s="46">
        <f t="shared" si="1"/>
        <v>16.8</v>
      </c>
    </row>
    <row r="32" spans="2:13" s="118" customFormat="1" ht="30" customHeight="1">
      <c r="B32" s="64">
        <v>27</v>
      </c>
      <c r="C32" s="122" t="s">
        <v>263</v>
      </c>
      <c r="D32" s="84">
        <v>43759</v>
      </c>
      <c r="E32" s="115" t="s">
        <v>8</v>
      </c>
      <c r="F32" s="67">
        <v>112</v>
      </c>
      <c r="G32" s="64" t="s">
        <v>9</v>
      </c>
      <c r="H32" s="67">
        <v>19</v>
      </c>
      <c r="I32" s="64" t="s">
        <v>9</v>
      </c>
      <c r="J32" s="95"/>
      <c r="L32" s="119">
        <f>CONVERT(F32,"cm","m")</f>
        <v>1.1200000000000001</v>
      </c>
      <c r="M32" s="46">
        <f>ROUND(H32/(L32*L32),1)</f>
        <v>15.1</v>
      </c>
    </row>
    <row r="33" spans="2:13" s="118" customFormat="1" ht="30" customHeight="1">
      <c r="B33" s="64">
        <v>28</v>
      </c>
      <c r="C33" s="121" t="s">
        <v>255</v>
      </c>
      <c r="D33" s="114">
        <v>43771</v>
      </c>
      <c r="E33" s="115" t="s">
        <v>11</v>
      </c>
      <c r="F33" s="67">
        <v>110</v>
      </c>
      <c r="G33" s="64" t="s">
        <v>9</v>
      </c>
      <c r="H33" s="67">
        <v>17</v>
      </c>
      <c r="I33" s="64" t="s">
        <v>9</v>
      </c>
      <c r="J33" s="95"/>
      <c r="L33" s="117">
        <f t="shared" si="0"/>
        <v>1.1000000000000001</v>
      </c>
      <c r="M33" s="46">
        <f>ROUND(H33/(L33*L33),1)</f>
        <v>14</v>
      </c>
    </row>
    <row r="34" spans="2:13" s="118" customFormat="1" ht="30" customHeight="1">
      <c r="B34" s="64">
        <v>29</v>
      </c>
      <c r="C34" s="121" t="s">
        <v>282</v>
      </c>
      <c r="D34" s="123">
        <v>43793</v>
      </c>
      <c r="E34" s="115" t="s">
        <v>8</v>
      </c>
      <c r="F34" s="67">
        <v>100</v>
      </c>
      <c r="G34" s="67" t="s">
        <v>12</v>
      </c>
      <c r="H34" s="67">
        <v>14.5</v>
      </c>
      <c r="I34" s="64" t="s">
        <v>13</v>
      </c>
      <c r="J34" s="95"/>
      <c r="L34" s="117">
        <f>CONVERT(F34,"cm","m")</f>
        <v>1</v>
      </c>
      <c r="M34" s="46">
        <f>ROUND(H34/(L34*L34),1)</f>
        <v>14.5</v>
      </c>
    </row>
    <row r="35" spans="2:13" s="118" customFormat="1" ht="30" customHeight="1">
      <c r="B35" s="64">
        <v>30</v>
      </c>
      <c r="C35" s="121" t="s">
        <v>271</v>
      </c>
      <c r="D35" s="123">
        <v>44146</v>
      </c>
      <c r="E35" s="115" t="s">
        <v>11</v>
      </c>
      <c r="F35" s="67">
        <v>105</v>
      </c>
      <c r="G35" s="64" t="s">
        <v>9</v>
      </c>
      <c r="H35" s="67">
        <v>18</v>
      </c>
      <c r="I35" s="64" t="s">
        <v>9</v>
      </c>
      <c r="J35" s="95"/>
      <c r="L35" s="117">
        <f t="shared" si="0"/>
        <v>1.05</v>
      </c>
      <c r="M35" s="46">
        <f>ROUND(H35/(L35*L35),1)</f>
        <v>16.3</v>
      </c>
    </row>
    <row r="36" spans="2:13" s="118" customFormat="1" ht="30" customHeight="1">
      <c r="B36" s="64">
        <v>31</v>
      </c>
      <c r="C36" s="121" t="s">
        <v>258</v>
      </c>
      <c r="D36" s="114">
        <v>43808</v>
      </c>
      <c r="E36" s="124" t="s">
        <v>11</v>
      </c>
      <c r="F36" s="67">
        <v>107</v>
      </c>
      <c r="G36" s="64" t="s">
        <v>9</v>
      </c>
      <c r="H36" s="67">
        <v>16</v>
      </c>
      <c r="I36" s="64" t="s">
        <v>9</v>
      </c>
      <c r="J36" s="95"/>
      <c r="L36" s="117">
        <f t="shared" si="0"/>
        <v>1.07</v>
      </c>
      <c r="M36" s="46">
        <f t="shared" si="1"/>
        <v>14</v>
      </c>
    </row>
    <row r="37" spans="2:13" s="118" customFormat="1" ht="30" customHeight="1">
      <c r="B37" s="64">
        <v>32</v>
      </c>
      <c r="C37" s="121" t="s">
        <v>261</v>
      </c>
      <c r="D37" s="114">
        <v>43811</v>
      </c>
      <c r="E37" s="115" t="s">
        <v>8</v>
      </c>
      <c r="F37" s="67">
        <v>103</v>
      </c>
      <c r="G37" s="64" t="s">
        <v>9</v>
      </c>
      <c r="H37" s="67">
        <v>15</v>
      </c>
      <c r="I37" s="64" t="s">
        <v>9</v>
      </c>
      <c r="J37" s="95"/>
      <c r="L37" s="117">
        <f t="shared" si="0"/>
        <v>1.03</v>
      </c>
      <c r="M37" s="46">
        <f t="shared" si="1"/>
        <v>14.1</v>
      </c>
    </row>
    <row r="38" spans="2:13" s="118" customFormat="1" ht="30" customHeight="1">
      <c r="B38" s="64">
        <v>33</v>
      </c>
      <c r="C38" s="121" t="s">
        <v>79</v>
      </c>
      <c r="D38" s="114">
        <v>43822</v>
      </c>
      <c r="E38" s="115" t="s">
        <v>11</v>
      </c>
      <c r="F38" s="64">
        <v>110</v>
      </c>
      <c r="G38" s="64" t="s">
        <v>9</v>
      </c>
      <c r="H38" s="64">
        <v>18</v>
      </c>
      <c r="I38" s="64" t="s">
        <v>9</v>
      </c>
      <c r="J38" s="120"/>
      <c r="L38" s="117">
        <f t="shared" si="0"/>
        <v>1.1000000000000001</v>
      </c>
      <c r="M38" s="46">
        <f>ROUND(H38/(L38*L38),1)</f>
        <v>14.9</v>
      </c>
    </row>
    <row r="39" spans="2:13" ht="18.75">
      <c r="B39" s="112" t="s">
        <v>278</v>
      </c>
      <c r="C39" s="99"/>
      <c r="D39" s="100"/>
      <c r="E39" s="101"/>
      <c r="F39" s="7"/>
      <c r="G39" s="94"/>
      <c r="H39" s="7"/>
      <c r="I39" s="6"/>
      <c r="J39" s="6"/>
      <c r="K39" s="4"/>
      <c r="L39" s="89"/>
    </row>
    <row r="40" spans="2:13" ht="18.75">
      <c r="B40" s="204" t="s">
        <v>14</v>
      </c>
      <c r="C40" s="204"/>
      <c r="D40" s="204"/>
      <c r="E40" s="204"/>
      <c r="F40" s="204"/>
      <c r="G40" s="204"/>
      <c r="H40" s="204"/>
      <c r="I40" s="7"/>
      <c r="J40" s="7"/>
      <c r="K40" s="8"/>
    </row>
    <row r="41" spans="2:13" ht="18.75">
      <c r="B41" s="79"/>
      <c r="C41" s="205" t="s">
        <v>15</v>
      </c>
      <c r="D41" s="10"/>
      <c r="E41" s="11" t="s">
        <v>8</v>
      </c>
      <c r="F41" s="11" t="s">
        <v>11</v>
      </c>
      <c r="G41" s="11" t="s">
        <v>16</v>
      </c>
      <c r="H41" s="11" t="s">
        <v>17</v>
      </c>
      <c r="I41" s="73"/>
      <c r="J41" s="73" t="s">
        <v>18</v>
      </c>
      <c r="K41" s="8"/>
    </row>
    <row r="42" spans="2:13" ht="31.5">
      <c r="B42" s="13"/>
      <c r="C42" s="206"/>
      <c r="D42" s="10" t="s">
        <v>9</v>
      </c>
      <c r="E42" s="10">
        <f>COUNTIFS($G$6:$G$38,"BT",$E$6:$E$38,"Nam")</f>
        <v>17</v>
      </c>
      <c r="F42" s="10">
        <f>COUNTIFS($G$6:$G$38,"BT",$E$6:$E$38,"Nữ")</f>
        <v>15</v>
      </c>
      <c r="G42" s="10">
        <f>SUM(E42:F42)</f>
        <v>32</v>
      </c>
      <c r="H42" s="10">
        <f>ROUND((G42/33*100),1)</f>
        <v>97</v>
      </c>
      <c r="I42" s="14"/>
      <c r="J42" s="15" t="s">
        <v>9</v>
      </c>
      <c r="K42" s="16" t="s">
        <v>19</v>
      </c>
    </row>
    <row r="43" spans="2:13" ht="47.25">
      <c r="B43" s="13"/>
      <c r="C43" s="206"/>
      <c r="D43" s="10" t="s">
        <v>20</v>
      </c>
      <c r="E43" s="10">
        <f>COUNTIFS($G$6:$G$37,"TC.N",$E$6:$E$37,"Nam")</f>
        <v>0</v>
      </c>
      <c r="F43" s="10">
        <f>COUNTIFS($G$6:$G$37,"TC.N",$E$6:$E$37,"Nữ")</f>
        <v>0</v>
      </c>
      <c r="G43" s="10">
        <f>SUM(E43:F43)</f>
        <v>0</v>
      </c>
      <c r="H43" s="10">
        <f>ROUND((G43/34*100),1)</f>
        <v>0</v>
      </c>
      <c r="I43" s="14"/>
      <c r="J43" s="15" t="s">
        <v>20</v>
      </c>
      <c r="K43" s="16" t="s">
        <v>21</v>
      </c>
    </row>
    <row r="44" spans="2:13" ht="18.75">
      <c r="B44" s="13"/>
      <c r="C44" s="207"/>
      <c r="D44" s="10" t="s">
        <v>12</v>
      </c>
      <c r="E44" s="10">
        <f>COUNTIFS($G$6:$G$37,"TC",$E$6:$E$37,"Nam")</f>
        <v>1</v>
      </c>
      <c r="F44" s="10">
        <f>COUNTIFS($G$6:$G$37,"TC",$E$6:$E$37,"Nữ")</f>
        <v>0</v>
      </c>
      <c r="G44" s="10">
        <f>SUM(E44:F44)</f>
        <v>1</v>
      </c>
      <c r="H44" s="10">
        <f>ROUND((G44/33*100),1)</f>
        <v>3</v>
      </c>
      <c r="I44" s="14"/>
      <c r="J44" s="15" t="s">
        <v>12</v>
      </c>
      <c r="K44" s="16" t="s">
        <v>22</v>
      </c>
    </row>
    <row r="45" spans="2:13" ht="18.75">
      <c r="B45" s="13"/>
      <c r="C45" s="17" t="s">
        <v>16</v>
      </c>
      <c r="D45" s="10"/>
      <c r="E45" s="18">
        <f>SUM(E42:E44)</f>
        <v>18</v>
      </c>
      <c r="F45" s="18">
        <f>SUM(F42:F44)</f>
        <v>15</v>
      </c>
      <c r="G45" s="18">
        <f>SUM(G42:G44)</f>
        <v>33</v>
      </c>
      <c r="H45" s="10">
        <f>SUM(H42:H44)</f>
        <v>100</v>
      </c>
      <c r="I45" s="19"/>
      <c r="J45" s="20" t="s">
        <v>10</v>
      </c>
      <c r="K45" s="16" t="s">
        <v>23</v>
      </c>
    </row>
    <row r="46" spans="2:13" ht="18.75">
      <c r="B46" s="13"/>
      <c r="C46" s="208" t="s">
        <v>24</v>
      </c>
      <c r="D46" s="10" t="s">
        <v>9</v>
      </c>
      <c r="E46" s="18">
        <f>COUNTIFS($I$6:$I$38,"BT",$E$6:$E$38,"Nam")</f>
        <v>12</v>
      </c>
      <c r="F46" s="18">
        <f>COUNTIFS($I$6:$I$38,"BT",$E$6:$E$38,"Nữ")</f>
        <v>13</v>
      </c>
      <c r="G46" s="18">
        <f t="shared" ref="G46:G52" si="4">SUM(E46:F46)</f>
        <v>25</v>
      </c>
      <c r="H46" s="18">
        <f>ROUND((G46/33*100),1)</f>
        <v>75.8</v>
      </c>
      <c r="I46" s="19"/>
      <c r="J46" s="20" t="s">
        <v>25</v>
      </c>
      <c r="K46" s="16" t="s">
        <v>26</v>
      </c>
    </row>
    <row r="47" spans="2:13" ht="47.25">
      <c r="B47" s="13"/>
      <c r="C47" s="209"/>
      <c r="D47" s="10" t="s">
        <v>10</v>
      </c>
      <c r="E47" s="18">
        <f>COUNTIFS($I$6:$I$38,"BP",$E$6:$E$38,"Nam")</f>
        <v>3</v>
      </c>
      <c r="F47" s="18">
        <f>COUNTIFS($I$6:$I$38,"BP",$E$6:$E$38,"Nữ")</f>
        <v>1</v>
      </c>
      <c r="G47" s="18">
        <f t="shared" si="4"/>
        <v>4</v>
      </c>
      <c r="H47" s="18">
        <f>ROUND((G47/33*100),1)</f>
        <v>12.1</v>
      </c>
      <c r="I47" s="19"/>
      <c r="J47" s="21" t="s">
        <v>27</v>
      </c>
      <c r="K47" s="16" t="s">
        <v>28</v>
      </c>
    </row>
    <row r="48" spans="2:13" ht="18.75">
      <c r="B48" s="13"/>
      <c r="C48" s="209"/>
      <c r="D48" s="10" t="s">
        <v>25</v>
      </c>
      <c r="E48" s="18">
        <f>COUNTIFS($I$6:$I$38,"Th.C",$E$6:$E$38,"Nam")</f>
        <v>2</v>
      </c>
      <c r="F48" s="18">
        <f>COUNTIFS($I$6:$I$38,"Th.C",$E$6:$E$38,"Nữ")</f>
        <v>1</v>
      </c>
      <c r="G48" s="18">
        <f t="shared" si="4"/>
        <v>3</v>
      </c>
      <c r="H48" s="18">
        <f>ROUND((G48/33*100),1)</f>
        <v>9.1</v>
      </c>
      <c r="I48" s="19"/>
      <c r="J48" s="22" t="s">
        <v>13</v>
      </c>
      <c r="K48" s="15" t="s">
        <v>29</v>
      </c>
    </row>
    <row r="49" spans="2:11" ht="18.75">
      <c r="B49" s="13"/>
      <c r="C49" s="209"/>
      <c r="D49" s="10" t="s">
        <v>27</v>
      </c>
      <c r="E49" s="18">
        <f>COUNTIFS($I$6:$I$37,"NC.N",$E$6:$E$37,"Nam")</f>
        <v>0</v>
      </c>
      <c r="F49" s="18">
        <f>COUNTIFS($I$6:$I$37,"NC.N",$E$6:$E$37,"Nữ")</f>
        <v>0</v>
      </c>
      <c r="G49" s="18">
        <f t="shared" si="4"/>
        <v>0</v>
      </c>
      <c r="H49" s="18">
        <f>ROUND((G49/34*100),1)</f>
        <v>0</v>
      </c>
      <c r="I49" s="19"/>
      <c r="J49" s="22" t="s">
        <v>30</v>
      </c>
      <c r="K49" s="23" t="s">
        <v>31</v>
      </c>
    </row>
    <row r="50" spans="2:11" ht="47.25">
      <c r="B50" s="13"/>
      <c r="C50" s="209"/>
      <c r="D50" s="10" t="s">
        <v>13</v>
      </c>
      <c r="E50" s="18">
        <f>COUNTIFS($I$6:$I$37,"NC",$E$6:$E$37,"Nam")</f>
        <v>1</v>
      </c>
      <c r="F50" s="18">
        <f>COUNTIFS($I$6:$I$37,"NC",$E$6:$E$37,"Nữ")</f>
        <v>0</v>
      </c>
      <c r="G50" s="18">
        <f t="shared" si="4"/>
        <v>1</v>
      </c>
      <c r="H50" s="18">
        <f>ROUND((G50/33*100),1)</f>
        <v>3</v>
      </c>
      <c r="I50" s="19"/>
      <c r="J50" s="24" t="s">
        <v>32</v>
      </c>
      <c r="K50" s="16" t="s">
        <v>33</v>
      </c>
    </row>
    <row r="51" spans="2:11" ht="18.75">
      <c r="B51" s="13"/>
      <c r="C51" s="209"/>
      <c r="D51" s="10" t="s">
        <v>30</v>
      </c>
      <c r="E51" s="18">
        <f>COUNTIFS($I$6:$I$38,"GC",$E$6:$E$38,"Nam")</f>
        <v>0</v>
      </c>
      <c r="F51" s="18">
        <f>COUNTIFS($I$6:$I$37,"GC",$E$6:$E$37,"Nữ")</f>
        <v>0</v>
      </c>
      <c r="G51" s="18">
        <f t="shared" si="4"/>
        <v>0</v>
      </c>
      <c r="H51" s="18">
        <f>ROUND((G51/33*100),1)</f>
        <v>0</v>
      </c>
      <c r="I51" s="19"/>
      <c r="J51" s="25"/>
    </row>
    <row r="52" spans="2:11" ht="18.75">
      <c r="B52" s="26"/>
      <c r="C52" s="210"/>
      <c r="D52" s="27" t="s">
        <v>32</v>
      </c>
      <c r="E52" s="18">
        <f>COUNTIFS($I$6:$I$37,"GC.N",$E$6:$E$37,"Nam")</f>
        <v>0</v>
      </c>
      <c r="F52" s="18">
        <f>COUNTIFS($I$6:$I$38,"GC.N",$E$6:$E$38,"Nữ")</f>
        <v>0</v>
      </c>
      <c r="G52" s="18">
        <f t="shared" si="4"/>
        <v>0</v>
      </c>
      <c r="H52" s="18">
        <f>ROUND((G52/32*100),1)</f>
        <v>0</v>
      </c>
      <c r="I52" s="19"/>
      <c r="J52" s="25"/>
    </row>
    <row r="53" spans="2:11" ht="18.75">
      <c r="B53" s="26"/>
      <c r="C53" s="17" t="s">
        <v>16</v>
      </c>
      <c r="D53" s="27"/>
      <c r="E53" s="28">
        <f>SUM(E46:E52)</f>
        <v>18</v>
      </c>
      <c r="F53" s="28">
        <f>SUM(F46:F52)</f>
        <v>15</v>
      </c>
      <c r="G53" s="28">
        <f>SUM(G46:G52)</f>
        <v>33</v>
      </c>
      <c r="H53" s="28">
        <f>SUM(H46:H52)</f>
        <v>99.999999999999986</v>
      </c>
      <c r="I53" s="29"/>
      <c r="J53" s="78"/>
      <c r="K53" s="26"/>
    </row>
    <row r="54" spans="2:11" ht="18.75">
      <c r="B54" s="26"/>
      <c r="C54" s="26"/>
      <c r="G54" s="60"/>
      <c r="H54" s="61"/>
      <c r="I54" s="77" t="s">
        <v>289</v>
      </c>
      <c r="J54" s="77"/>
      <c r="K54" s="77"/>
    </row>
    <row r="55" spans="2:11" ht="15.75">
      <c r="B55" s="32"/>
      <c r="C55" s="32"/>
      <c r="G55" s="31"/>
      <c r="H55" s="33"/>
      <c r="I55" s="80" t="s">
        <v>34</v>
      </c>
      <c r="J55" s="80"/>
      <c r="K55" s="80"/>
    </row>
    <row r="56" spans="2:11" ht="15.75">
      <c r="B56" s="32"/>
      <c r="C56" s="32"/>
      <c r="D56" s="31"/>
      <c r="E56" s="33"/>
      <c r="F56" s="32"/>
      <c r="G56" s="33"/>
      <c r="H56" s="32" t="s">
        <v>41</v>
      </c>
      <c r="I56" s="32"/>
      <c r="J56" s="32"/>
      <c r="K56" s="5"/>
    </row>
    <row r="57" spans="2:11" ht="15.75">
      <c r="B57" s="32"/>
      <c r="C57" s="32"/>
      <c r="D57" s="31"/>
      <c r="E57" s="33"/>
      <c r="F57" s="32"/>
      <c r="G57" s="33"/>
      <c r="H57" s="32" t="s">
        <v>117</v>
      </c>
      <c r="I57" s="32"/>
      <c r="J57" s="32"/>
      <c r="K57" s="80"/>
    </row>
  </sheetData>
  <sortState ref="C6:E36">
    <sortCondition ref="D6:D36"/>
  </sortState>
  <mergeCells count="14">
    <mergeCell ref="J3:J5"/>
    <mergeCell ref="B40:H40"/>
    <mergeCell ref="C41:C44"/>
    <mergeCell ref="C46:C52"/>
    <mergeCell ref="B1:K1"/>
    <mergeCell ref="B2:K2"/>
    <mergeCell ref="B3:B5"/>
    <mergeCell ref="C3:C5"/>
    <mergeCell ref="D3:D5"/>
    <mergeCell ref="E3:E5"/>
    <mergeCell ref="F3:F5"/>
    <mergeCell ref="G3:G5"/>
    <mergeCell ref="H3:H5"/>
    <mergeCell ref="I3:I5"/>
  </mergeCells>
  <dataValidations count="1">
    <dataValidation allowBlank="1" showInputMessage="1" showErrorMessage="1" promptTitle="Năm sinh - Cột bắt buộc nhập" prompt="* Có 3 cách nhập cho cột này:&#10;- Chỉ nhập năm học: 2010 hoặc&#10;- Nhập tháng, năm: 4.1998 hoặc&#10;- Nhập đầy đủ: 04.10.2010&#10;* Nếu ngày hoặc tháng để trống thì chương trình sẽ hiểu là ngày 01, hoặc tháng 01" sqref="D30:D31"/>
  </dataValidations>
  <pageMargins left="0.39" right="0.24" top="0.54" bottom="0.54" header="0.27" footer="0.2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chồi 1</vt:lpstr>
      <vt:lpstr>chồi 2</vt:lpstr>
      <vt:lpstr>lá 1</vt:lpstr>
      <vt:lpstr>lá 2</vt:lpstr>
      <vt:lpstr>lá 3</vt:lpstr>
      <vt:lpstr>lá 4</vt:lpstr>
      <vt:lpstr>lá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2024-12-13T08:23:11Z</dcterms:modified>
</cp:coreProperties>
</file>